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raework\Lactomin NZ\Capital raising\Pledgeme\McCarthy stuff\Wesite content\"/>
    </mc:Choice>
  </mc:AlternateContent>
  <bookViews>
    <workbookView xWindow="0" yWindow="0" windowWidth="28800" windowHeight="12210" activeTab="10"/>
  </bookViews>
  <sheets>
    <sheet name="Summary" sheetId="13" r:id="rId1"/>
    <sheet name="NorthLand S3" sheetId="3" r:id="rId2"/>
    <sheet name="BOP S2" sheetId="4" r:id="rId3"/>
    <sheet name="Nth Wai 50-50" sheetId="5" r:id="rId4"/>
    <sheet name="Sth Wai S5" sheetId="6" r:id="rId5"/>
    <sheet name="naki S2" sheetId="8" r:id="rId6"/>
    <sheet name="Canty S3" sheetId="9" r:id="rId7"/>
    <sheet name="Canty S4" sheetId="10" r:id="rId8"/>
    <sheet name="Sthland S4" sheetId="11" r:id="rId9"/>
    <sheet name="Sthland Synd" sheetId="12" r:id="rId10"/>
    <sheet name="Template" sheetId="1" r:id="rId1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3" l="1"/>
  <c r="H12" i="4" l="1"/>
  <c r="G24" i="11" l="1"/>
  <c r="H12" i="12"/>
  <c r="B12" i="12"/>
  <c r="B12" i="11"/>
  <c r="H12" i="11"/>
  <c r="H12" i="10"/>
  <c r="H12" i="9"/>
  <c r="H12" i="8"/>
  <c r="H12" i="6"/>
  <c r="C12" i="5"/>
  <c r="B12" i="5" s="1"/>
  <c r="B12" i="4"/>
  <c r="B12" i="3"/>
  <c r="G12" i="3" s="1"/>
  <c r="H12" i="3"/>
  <c r="H12" i="5" l="1"/>
  <c r="C40" i="9"/>
  <c r="D40" i="9"/>
  <c r="E40" i="9"/>
  <c r="G40" i="9"/>
  <c r="G24" i="12"/>
  <c r="I24" i="12" s="1"/>
  <c r="B6" i="12"/>
  <c r="G39" i="12"/>
  <c r="E39" i="12"/>
  <c r="D39" i="12"/>
  <c r="C39" i="12"/>
  <c r="G38" i="12"/>
  <c r="E38" i="12"/>
  <c r="D38" i="12"/>
  <c r="C38" i="12"/>
  <c r="G37" i="12"/>
  <c r="J37" i="12" s="1"/>
  <c r="E37" i="12"/>
  <c r="D37" i="12"/>
  <c r="C37" i="12"/>
  <c r="G36" i="12"/>
  <c r="E36" i="12"/>
  <c r="D36" i="12"/>
  <c r="C36" i="12"/>
  <c r="G35" i="12"/>
  <c r="E35" i="12"/>
  <c r="D35" i="12"/>
  <c r="C35" i="12"/>
  <c r="G34" i="12"/>
  <c r="E34" i="12"/>
  <c r="D34" i="12"/>
  <c r="C34" i="12"/>
  <c r="G33" i="12"/>
  <c r="E33" i="12"/>
  <c r="D33" i="12"/>
  <c r="C33" i="12"/>
  <c r="G32" i="12"/>
  <c r="E32" i="12"/>
  <c r="D32" i="12"/>
  <c r="C32" i="12"/>
  <c r="G31" i="12"/>
  <c r="E31" i="12"/>
  <c r="D31" i="12"/>
  <c r="C31" i="12"/>
  <c r="B30" i="12"/>
  <c r="D30" i="12" s="1"/>
  <c r="G29" i="12"/>
  <c r="E29" i="12"/>
  <c r="D29" i="12"/>
  <c r="C29" i="12"/>
  <c r="G28" i="12"/>
  <c r="E28" i="12"/>
  <c r="D28" i="12"/>
  <c r="C28" i="12"/>
  <c r="G27" i="12"/>
  <c r="E27" i="12"/>
  <c r="D27" i="12"/>
  <c r="C27" i="12"/>
  <c r="G26" i="12"/>
  <c r="E26" i="12"/>
  <c r="D26" i="12"/>
  <c r="C26" i="12"/>
  <c r="G25" i="12"/>
  <c r="E24" i="12"/>
  <c r="D24" i="12"/>
  <c r="C24" i="12"/>
  <c r="G23" i="12"/>
  <c r="E23" i="12"/>
  <c r="D23" i="12"/>
  <c r="C23" i="12"/>
  <c r="G22" i="12"/>
  <c r="E22" i="12"/>
  <c r="D22" i="12"/>
  <c r="C22" i="12"/>
  <c r="G21" i="12"/>
  <c r="E21" i="12"/>
  <c r="D21" i="12"/>
  <c r="C21" i="12"/>
  <c r="G20" i="12"/>
  <c r="E20" i="12"/>
  <c r="D20" i="12"/>
  <c r="C20" i="12"/>
  <c r="G19" i="12"/>
  <c r="E19" i="12"/>
  <c r="D19" i="12"/>
  <c r="C19" i="12"/>
  <c r="G18" i="12"/>
  <c r="E18" i="12"/>
  <c r="D18" i="12"/>
  <c r="C18" i="12"/>
  <c r="B15" i="12"/>
  <c r="G14" i="12"/>
  <c r="E14" i="12"/>
  <c r="D14" i="12"/>
  <c r="C14" i="12"/>
  <c r="G13" i="12"/>
  <c r="H13" i="12" s="1"/>
  <c r="E13" i="12"/>
  <c r="D13" i="12"/>
  <c r="C13" i="12"/>
  <c r="E12" i="12"/>
  <c r="B7" i="12"/>
  <c r="G5" i="12"/>
  <c r="G12" i="12" s="1"/>
  <c r="G39" i="11"/>
  <c r="H39" i="11" s="1"/>
  <c r="E39" i="11"/>
  <c r="D39" i="11"/>
  <c r="C39" i="11"/>
  <c r="G38" i="11"/>
  <c r="H38" i="11" s="1"/>
  <c r="E38" i="11"/>
  <c r="D38" i="11"/>
  <c r="C38" i="11"/>
  <c r="G37" i="11"/>
  <c r="E37" i="11"/>
  <c r="D37" i="11"/>
  <c r="C37" i="11"/>
  <c r="G36" i="11"/>
  <c r="E36" i="11"/>
  <c r="D36" i="11"/>
  <c r="C36" i="11"/>
  <c r="G35" i="11"/>
  <c r="E35" i="11"/>
  <c r="D35" i="11"/>
  <c r="C35" i="11"/>
  <c r="G34" i="11"/>
  <c r="E34" i="11"/>
  <c r="D34" i="11"/>
  <c r="C34" i="11"/>
  <c r="G33" i="11"/>
  <c r="E33" i="11"/>
  <c r="D33" i="11"/>
  <c r="C33" i="11"/>
  <c r="G32" i="11"/>
  <c r="E32" i="11"/>
  <c r="D32" i="11"/>
  <c r="C32" i="11"/>
  <c r="G31" i="11"/>
  <c r="E31" i="11"/>
  <c r="D31" i="11"/>
  <c r="C31" i="11"/>
  <c r="B30" i="11"/>
  <c r="G30" i="11" s="1"/>
  <c r="H30" i="11" s="1"/>
  <c r="G29" i="11"/>
  <c r="J29" i="11" s="1"/>
  <c r="E29" i="11"/>
  <c r="D29" i="11"/>
  <c r="C29" i="11"/>
  <c r="G28" i="11"/>
  <c r="E28" i="11"/>
  <c r="D28" i="11"/>
  <c r="C28" i="11"/>
  <c r="G27" i="11"/>
  <c r="J27" i="11" s="1"/>
  <c r="E27" i="11"/>
  <c r="D27" i="11"/>
  <c r="C27" i="11"/>
  <c r="G26" i="11"/>
  <c r="E26" i="11"/>
  <c r="D26" i="11"/>
  <c r="C26" i="11"/>
  <c r="G25" i="11"/>
  <c r="J24" i="11"/>
  <c r="I24" i="11"/>
  <c r="E24" i="11"/>
  <c r="D24" i="11"/>
  <c r="C24" i="11"/>
  <c r="G23" i="11"/>
  <c r="J23" i="11" s="1"/>
  <c r="E23" i="11"/>
  <c r="D23" i="11"/>
  <c r="C23" i="11"/>
  <c r="G22" i="11"/>
  <c r="E22" i="11"/>
  <c r="D22" i="11"/>
  <c r="C22" i="11"/>
  <c r="G21" i="11"/>
  <c r="E21" i="11"/>
  <c r="D21" i="11"/>
  <c r="C21" i="11"/>
  <c r="G20" i="11"/>
  <c r="E20" i="11"/>
  <c r="D20" i="11"/>
  <c r="C20" i="11"/>
  <c r="G19" i="11"/>
  <c r="E19" i="11"/>
  <c r="D19" i="11"/>
  <c r="C19" i="11"/>
  <c r="G18" i="11"/>
  <c r="E18" i="11"/>
  <c r="D18" i="11"/>
  <c r="C18" i="11"/>
  <c r="G14" i="11"/>
  <c r="E14" i="11"/>
  <c r="D14" i="11"/>
  <c r="C14" i="11"/>
  <c r="G13" i="11"/>
  <c r="E13" i="11"/>
  <c r="D13" i="11"/>
  <c r="C13" i="11"/>
  <c r="B15" i="11"/>
  <c r="B7" i="11"/>
  <c r="B6" i="11"/>
  <c r="G5" i="11"/>
  <c r="G12" i="11" s="1"/>
  <c r="B7" i="4"/>
  <c r="G39" i="3"/>
  <c r="H39" i="3" s="1"/>
  <c r="E24" i="13" s="1"/>
  <c r="G5" i="10"/>
  <c r="B6" i="10"/>
  <c r="G39" i="10"/>
  <c r="E39" i="10"/>
  <c r="D39" i="10"/>
  <c r="C39" i="10"/>
  <c r="G38" i="10"/>
  <c r="E38" i="10"/>
  <c r="D38" i="10"/>
  <c r="C38" i="10"/>
  <c r="G37" i="10"/>
  <c r="E37" i="10"/>
  <c r="D37" i="10"/>
  <c r="C37" i="10"/>
  <c r="G36" i="10"/>
  <c r="E36" i="10"/>
  <c r="D36" i="10"/>
  <c r="C36" i="10"/>
  <c r="J35" i="10"/>
  <c r="I35" i="10"/>
  <c r="G35" i="10"/>
  <c r="E35" i="10"/>
  <c r="D35" i="10"/>
  <c r="C35" i="10"/>
  <c r="G34" i="10"/>
  <c r="E34" i="10"/>
  <c r="D34" i="10"/>
  <c r="C34" i="10"/>
  <c r="G33" i="10"/>
  <c r="E33" i="10"/>
  <c r="D33" i="10"/>
  <c r="C33" i="10"/>
  <c r="G32" i="10"/>
  <c r="E32" i="10"/>
  <c r="D32" i="10"/>
  <c r="C32" i="10"/>
  <c r="G31" i="10"/>
  <c r="E31" i="10"/>
  <c r="D31" i="10"/>
  <c r="C31" i="10"/>
  <c r="B30" i="10"/>
  <c r="E30" i="10" s="1"/>
  <c r="G29" i="10"/>
  <c r="E29" i="10"/>
  <c r="D29" i="10"/>
  <c r="C29" i="10"/>
  <c r="G28" i="10"/>
  <c r="E28" i="10"/>
  <c r="D28" i="10"/>
  <c r="C28" i="10"/>
  <c r="G27" i="10"/>
  <c r="H27" i="10" s="1"/>
  <c r="E27" i="10"/>
  <c r="D27" i="10"/>
  <c r="C27" i="10"/>
  <c r="G26" i="10"/>
  <c r="E26" i="10"/>
  <c r="D26" i="10"/>
  <c r="C26" i="10"/>
  <c r="G25" i="10"/>
  <c r="G24" i="10" s="1"/>
  <c r="E24" i="10"/>
  <c r="D24" i="10"/>
  <c r="C24" i="10"/>
  <c r="G23" i="10"/>
  <c r="E23" i="10"/>
  <c r="D23" i="10"/>
  <c r="C23" i="10"/>
  <c r="G22" i="10"/>
  <c r="E22" i="10"/>
  <c r="D22" i="10"/>
  <c r="C22" i="10"/>
  <c r="G21" i="10"/>
  <c r="E21" i="10"/>
  <c r="D21" i="10"/>
  <c r="C21" i="10"/>
  <c r="G20" i="10"/>
  <c r="H20" i="10" s="1"/>
  <c r="E20" i="10"/>
  <c r="D20" i="10"/>
  <c r="C20" i="10"/>
  <c r="G19" i="10"/>
  <c r="E19" i="10"/>
  <c r="D19" i="10"/>
  <c r="C19" i="10"/>
  <c r="G18" i="10"/>
  <c r="E18" i="10"/>
  <c r="D18" i="10"/>
  <c r="C18" i="10"/>
  <c r="J14" i="10"/>
  <c r="G14" i="10"/>
  <c r="E14" i="10"/>
  <c r="D14" i="10"/>
  <c r="C14" i="10"/>
  <c r="G13" i="10"/>
  <c r="J13" i="10" s="1"/>
  <c r="E13" i="10"/>
  <c r="D13" i="10"/>
  <c r="C13" i="10"/>
  <c r="B12" i="10"/>
  <c r="E12" i="10" s="1"/>
  <c r="B7" i="10"/>
  <c r="G26" i="1"/>
  <c r="J26" i="1" s="1"/>
  <c r="C26" i="1"/>
  <c r="D26" i="1"/>
  <c r="E26" i="1"/>
  <c r="G27" i="9"/>
  <c r="C27" i="9"/>
  <c r="D27" i="9"/>
  <c r="E27" i="9"/>
  <c r="J39" i="9"/>
  <c r="G39" i="9"/>
  <c r="E39" i="9"/>
  <c r="D39" i="9"/>
  <c r="C39" i="9"/>
  <c r="G38" i="9"/>
  <c r="J38" i="9" s="1"/>
  <c r="E38" i="9"/>
  <c r="D38" i="9"/>
  <c r="C38" i="9"/>
  <c r="G37" i="9"/>
  <c r="E37" i="9"/>
  <c r="D37" i="9"/>
  <c r="C37" i="9"/>
  <c r="G36" i="9"/>
  <c r="E36" i="9"/>
  <c r="D36" i="9"/>
  <c r="C36" i="9"/>
  <c r="G35" i="9"/>
  <c r="E35" i="9"/>
  <c r="D35" i="9"/>
  <c r="C35" i="9"/>
  <c r="G34" i="9"/>
  <c r="E34" i="9"/>
  <c r="D34" i="9"/>
  <c r="C34" i="9"/>
  <c r="G33" i="9"/>
  <c r="E33" i="9"/>
  <c r="D33" i="9"/>
  <c r="C33" i="9"/>
  <c r="G32" i="9"/>
  <c r="E32" i="9"/>
  <c r="D32" i="9"/>
  <c r="C32" i="9"/>
  <c r="G31" i="9"/>
  <c r="E31" i="9"/>
  <c r="D31" i="9"/>
  <c r="C31" i="9"/>
  <c r="B30" i="9"/>
  <c r="G30" i="9" s="1"/>
  <c r="G29" i="9"/>
  <c r="J29" i="9" s="1"/>
  <c r="E29" i="9"/>
  <c r="D29" i="9"/>
  <c r="C29" i="9"/>
  <c r="G28" i="9"/>
  <c r="H28" i="9" s="1"/>
  <c r="E28" i="9"/>
  <c r="D28" i="9"/>
  <c r="C28" i="9"/>
  <c r="J26" i="9"/>
  <c r="I26" i="9"/>
  <c r="G26" i="9"/>
  <c r="E26" i="9"/>
  <c r="D26" i="9"/>
  <c r="C26" i="9"/>
  <c r="G25" i="9"/>
  <c r="E24" i="9"/>
  <c r="D24" i="9"/>
  <c r="C24" i="9"/>
  <c r="G23" i="9"/>
  <c r="E23" i="9"/>
  <c r="D23" i="9"/>
  <c r="C23" i="9"/>
  <c r="G22" i="9"/>
  <c r="E22" i="9"/>
  <c r="D22" i="9"/>
  <c r="C22" i="9"/>
  <c r="G21" i="9"/>
  <c r="E21" i="9"/>
  <c r="D21" i="9"/>
  <c r="C21" i="9"/>
  <c r="G20" i="9"/>
  <c r="E20" i="9"/>
  <c r="D20" i="9"/>
  <c r="C20" i="9"/>
  <c r="G19" i="9"/>
  <c r="E19" i="9"/>
  <c r="D19" i="9"/>
  <c r="C19" i="9"/>
  <c r="G18" i="9"/>
  <c r="E18" i="9"/>
  <c r="D18" i="9"/>
  <c r="C18" i="9"/>
  <c r="G14" i="9"/>
  <c r="J14" i="9" s="1"/>
  <c r="E14" i="9"/>
  <c r="D14" i="9"/>
  <c r="C14" i="9"/>
  <c r="G13" i="9"/>
  <c r="E13" i="9"/>
  <c r="D13" i="9"/>
  <c r="C13" i="9"/>
  <c r="B12" i="9"/>
  <c r="B7" i="9"/>
  <c r="B6" i="9"/>
  <c r="G5" i="9"/>
  <c r="G12" i="9" s="1"/>
  <c r="G27" i="8"/>
  <c r="C27" i="8"/>
  <c r="D27" i="8"/>
  <c r="E27" i="8"/>
  <c r="B6" i="1"/>
  <c r="B5" i="1"/>
  <c r="B7" i="8"/>
  <c r="B6" i="8"/>
  <c r="G39" i="8"/>
  <c r="E39" i="8"/>
  <c r="D39" i="8"/>
  <c r="C39" i="8"/>
  <c r="G38" i="8"/>
  <c r="E38" i="8"/>
  <c r="D38" i="8"/>
  <c r="C38" i="8"/>
  <c r="G37" i="8"/>
  <c r="E37" i="8"/>
  <c r="D37" i="8"/>
  <c r="C37" i="8"/>
  <c r="G36" i="8"/>
  <c r="E36" i="8"/>
  <c r="D36" i="8"/>
  <c r="C36" i="8"/>
  <c r="G35" i="8"/>
  <c r="E35" i="8"/>
  <c r="D35" i="8"/>
  <c r="C35" i="8"/>
  <c r="G34" i="8"/>
  <c r="E34" i="8"/>
  <c r="D34" i="8"/>
  <c r="C34" i="8"/>
  <c r="G33" i="8"/>
  <c r="E33" i="8"/>
  <c r="D33" i="8"/>
  <c r="C33" i="8"/>
  <c r="G32" i="8"/>
  <c r="E32" i="8"/>
  <c r="D32" i="8"/>
  <c r="C32" i="8"/>
  <c r="G31" i="8"/>
  <c r="E31" i="8"/>
  <c r="D31" i="8"/>
  <c r="C31" i="8"/>
  <c r="B30" i="8"/>
  <c r="G30" i="8" s="1"/>
  <c r="G29" i="8"/>
  <c r="E29" i="8"/>
  <c r="D29" i="8"/>
  <c r="C29" i="8"/>
  <c r="G28" i="8"/>
  <c r="E28" i="8"/>
  <c r="D28" i="8"/>
  <c r="C28" i="8"/>
  <c r="G26" i="8"/>
  <c r="E26" i="8"/>
  <c r="D26" i="8"/>
  <c r="C26" i="8"/>
  <c r="G25" i="8"/>
  <c r="J24" i="8"/>
  <c r="I24" i="8"/>
  <c r="E24" i="8"/>
  <c r="D24" i="8"/>
  <c r="C24" i="8"/>
  <c r="G23" i="8"/>
  <c r="E23" i="8"/>
  <c r="D23" i="8"/>
  <c r="C23" i="8"/>
  <c r="G22" i="8"/>
  <c r="E22" i="8"/>
  <c r="D22" i="8"/>
  <c r="C22" i="8"/>
  <c r="G21" i="8"/>
  <c r="E21" i="8"/>
  <c r="D21" i="8"/>
  <c r="C21" i="8"/>
  <c r="G20" i="8"/>
  <c r="E20" i="8"/>
  <c r="D20" i="8"/>
  <c r="C20" i="8"/>
  <c r="G19" i="8"/>
  <c r="E19" i="8"/>
  <c r="D19" i="8"/>
  <c r="C19" i="8"/>
  <c r="G18" i="8"/>
  <c r="E18" i="8"/>
  <c r="D18" i="8"/>
  <c r="C18" i="8"/>
  <c r="G14" i="8"/>
  <c r="E14" i="8"/>
  <c r="D14" i="8"/>
  <c r="C14" i="8"/>
  <c r="G13" i="8"/>
  <c r="E13" i="8"/>
  <c r="D13" i="8"/>
  <c r="C13" i="8"/>
  <c r="B12" i="8"/>
  <c r="G5" i="8"/>
  <c r="G5" i="6"/>
  <c r="G12" i="6" s="1"/>
  <c r="G5" i="5"/>
  <c r="G5" i="3"/>
  <c r="G4" i="1"/>
  <c r="G19" i="3"/>
  <c r="G19" i="4"/>
  <c r="G19" i="5"/>
  <c r="H19" i="5" s="1"/>
  <c r="G19" i="6"/>
  <c r="G28" i="6"/>
  <c r="C28" i="6"/>
  <c r="D28" i="6"/>
  <c r="E28" i="6"/>
  <c r="B7" i="6"/>
  <c r="G39" i="6"/>
  <c r="E39" i="6"/>
  <c r="D39" i="6"/>
  <c r="C39" i="6"/>
  <c r="G38" i="6"/>
  <c r="E38" i="6"/>
  <c r="D38" i="6"/>
  <c r="C38" i="6"/>
  <c r="G37" i="6"/>
  <c r="E37" i="6"/>
  <c r="D37" i="6"/>
  <c r="C37" i="6"/>
  <c r="G36" i="6"/>
  <c r="E36" i="6"/>
  <c r="D36" i="6"/>
  <c r="C36" i="6"/>
  <c r="G35" i="6"/>
  <c r="H35" i="6" s="1"/>
  <c r="E35" i="6"/>
  <c r="D35" i="6"/>
  <c r="C35" i="6"/>
  <c r="G34" i="6"/>
  <c r="H34" i="6" s="1"/>
  <c r="E34" i="6"/>
  <c r="D34" i="6"/>
  <c r="C34" i="6"/>
  <c r="G33" i="6"/>
  <c r="E33" i="6"/>
  <c r="D33" i="6"/>
  <c r="C33" i="6"/>
  <c r="I32" i="6"/>
  <c r="G32" i="6"/>
  <c r="E32" i="6"/>
  <c r="D32" i="6"/>
  <c r="C32" i="6"/>
  <c r="G31" i="6"/>
  <c r="I31" i="6" s="1"/>
  <c r="E31" i="6"/>
  <c r="D31" i="6"/>
  <c r="C31" i="6"/>
  <c r="B30" i="6"/>
  <c r="G29" i="6"/>
  <c r="E29" i="6"/>
  <c r="D29" i="6"/>
  <c r="C29" i="6"/>
  <c r="G27" i="6"/>
  <c r="E27" i="6"/>
  <c r="D27" i="6"/>
  <c r="C27" i="6"/>
  <c r="G26" i="6"/>
  <c r="E26" i="6"/>
  <c r="D26" i="6"/>
  <c r="C26" i="6"/>
  <c r="G25" i="6"/>
  <c r="H25" i="6" s="1"/>
  <c r="E24" i="6"/>
  <c r="D24" i="6"/>
  <c r="C24" i="6"/>
  <c r="G23" i="6"/>
  <c r="E23" i="6"/>
  <c r="D23" i="6"/>
  <c r="C23" i="6"/>
  <c r="G22" i="6"/>
  <c r="E22" i="6"/>
  <c r="D22" i="6"/>
  <c r="C22" i="6"/>
  <c r="G21" i="6"/>
  <c r="H21" i="6" s="1"/>
  <c r="E21" i="6"/>
  <c r="D21" i="6"/>
  <c r="C21" i="6"/>
  <c r="G20" i="6"/>
  <c r="E20" i="6"/>
  <c r="D20" i="6"/>
  <c r="C20" i="6"/>
  <c r="E19" i="6"/>
  <c r="D19" i="6"/>
  <c r="C19" i="6"/>
  <c r="G18" i="6"/>
  <c r="H18" i="6" s="1"/>
  <c r="E18" i="6"/>
  <c r="D18" i="6"/>
  <c r="C18" i="6"/>
  <c r="G14" i="6"/>
  <c r="E14" i="6"/>
  <c r="D14" i="6"/>
  <c r="C14" i="6"/>
  <c r="G13" i="6"/>
  <c r="E13" i="6"/>
  <c r="D13" i="6"/>
  <c r="C13" i="6"/>
  <c r="B12" i="6"/>
  <c r="G25" i="5"/>
  <c r="G18" i="1"/>
  <c r="H18" i="1" s="1"/>
  <c r="B7" i="5"/>
  <c r="B6" i="5"/>
  <c r="G38" i="5"/>
  <c r="E38" i="5"/>
  <c r="D38" i="5"/>
  <c r="C38" i="5"/>
  <c r="G37" i="5"/>
  <c r="E37" i="5"/>
  <c r="D37" i="5"/>
  <c r="C37" i="5"/>
  <c r="G36" i="5"/>
  <c r="J36" i="5" s="1"/>
  <c r="E36" i="5"/>
  <c r="D36" i="5"/>
  <c r="C36" i="5"/>
  <c r="G35" i="5"/>
  <c r="E35" i="5"/>
  <c r="D35" i="5"/>
  <c r="C35" i="5"/>
  <c r="G34" i="5"/>
  <c r="E34" i="5"/>
  <c r="D34" i="5"/>
  <c r="C34" i="5"/>
  <c r="G33" i="5"/>
  <c r="H33" i="5" s="1"/>
  <c r="E33" i="5"/>
  <c r="D33" i="5"/>
  <c r="C33" i="5"/>
  <c r="G32" i="5"/>
  <c r="E32" i="5"/>
  <c r="D32" i="5"/>
  <c r="C32" i="5"/>
  <c r="G31" i="5"/>
  <c r="E31" i="5"/>
  <c r="D31" i="5"/>
  <c r="C31" i="5"/>
  <c r="G30" i="5"/>
  <c r="E30" i="5"/>
  <c r="D30" i="5"/>
  <c r="C30" i="5"/>
  <c r="B29" i="5"/>
  <c r="D29" i="5" s="1"/>
  <c r="G28" i="5"/>
  <c r="E28" i="5"/>
  <c r="D28" i="5"/>
  <c r="C28" i="5"/>
  <c r="G27" i="5"/>
  <c r="H27" i="5" s="1"/>
  <c r="E27" i="5"/>
  <c r="D27" i="5"/>
  <c r="C27" i="5"/>
  <c r="G26" i="5"/>
  <c r="E26" i="5"/>
  <c r="D26" i="5"/>
  <c r="C26" i="5"/>
  <c r="J25" i="5"/>
  <c r="I25" i="5"/>
  <c r="J24" i="5"/>
  <c r="I24" i="5"/>
  <c r="E24" i="5"/>
  <c r="D24" i="5"/>
  <c r="C24" i="5"/>
  <c r="G23" i="5"/>
  <c r="H23" i="5" s="1"/>
  <c r="E23" i="5"/>
  <c r="D23" i="5"/>
  <c r="C23" i="5"/>
  <c r="G22" i="5"/>
  <c r="E22" i="5"/>
  <c r="D22" i="5"/>
  <c r="C22" i="5"/>
  <c r="G21" i="5"/>
  <c r="H21" i="5" s="1"/>
  <c r="E21" i="5"/>
  <c r="D21" i="5"/>
  <c r="C21" i="5"/>
  <c r="G20" i="5"/>
  <c r="E20" i="5"/>
  <c r="D20" i="5"/>
  <c r="C20" i="5"/>
  <c r="J19" i="5"/>
  <c r="E19" i="5"/>
  <c r="D19" i="5"/>
  <c r="C19" i="5"/>
  <c r="G18" i="5"/>
  <c r="E18" i="5"/>
  <c r="D18" i="5"/>
  <c r="C18" i="5"/>
  <c r="G14" i="5"/>
  <c r="E14" i="5"/>
  <c r="D14" i="5"/>
  <c r="C14" i="5"/>
  <c r="G13" i="5"/>
  <c r="E13" i="5"/>
  <c r="D13" i="5"/>
  <c r="C13" i="5"/>
  <c r="C15" i="5" s="1"/>
  <c r="I19" i="3"/>
  <c r="G38" i="1"/>
  <c r="J38" i="1" s="1"/>
  <c r="G37" i="1"/>
  <c r="H37" i="1" s="1"/>
  <c r="G36" i="1"/>
  <c r="H36" i="1" s="1"/>
  <c r="G35" i="1"/>
  <c r="I35" i="1" s="1"/>
  <c r="G34" i="1"/>
  <c r="I34" i="1" s="1"/>
  <c r="G33" i="1"/>
  <c r="G32" i="1"/>
  <c r="J32" i="1" s="1"/>
  <c r="G31" i="1"/>
  <c r="J31" i="1" s="1"/>
  <c r="G30" i="1"/>
  <c r="H30" i="1" s="1"/>
  <c r="G28" i="1"/>
  <c r="I28" i="1" s="1"/>
  <c r="G27" i="1"/>
  <c r="I27" i="1" s="1"/>
  <c r="G25" i="1"/>
  <c r="J25" i="1" s="1"/>
  <c r="G22" i="1"/>
  <c r="J22" i="1" s="1"/>
  <c r="G21" i="1"/>
  <c r="I21" i="1" s="1"/>
  <c r="G20" i="1"/>
  <c r="J20" i="1" s="1"/>
  <c r="G19" i="1"/>
  <c r="G17" i="1"/>
  <c r="J17" i="1" s="1"/>
  <c r="G24" i="4"/>
  <c r="G38" i="4"/>
  <c r="G37" i="4"/>
  <c r="G36" i="4"/>
  <c r="J36" i="4" s="1"/>
  <c r="G35" i="4"/>
  <c r="G34" i="4"/>
  <c r="G33" i="4"/>
  <c r="G32" i="4"/>
  <c r="I32" i="4" s="1"/>
  <c r="G31" i="4"/>
  <c r="G30" i="4"/>
  <c r="G28" i="4"/>
  <c r="J28" i="4" s="1"/>
  <c r="G27" i="4"/>
  <c r="G26" i="4"/>
  <c r="G23" i="4"/>
  <c r="G22" i="4"/>
  <c r="J22" i="4" s="1"/>
  <c r="G21" i="4"/>
  <c r="G20" i="4"/>
  <c r="G18" i="4"/>
  <c r="J19" i="4"/>
  <c r="J38" i="4"/>
  <c r="E38" i="4"/>
  <c r="D38" i="4"/>
  <c r="I37" i="4"/>
  <c r="E37" i="4"/>
  <c r="D37" i="4"/>
  <c r="I36" i="4"/>
  <c r="E36" i="4"/>
  <c r="D36" i="4"/>
  <c r="I35" i="4"/>
  <c r="E35" i="4"/>
  <c r="D35" i="4"/>
  <c r="I34" i="4"/>
  <c r="E34" i="4"/>
  <c r="D34" i="4"/>
  <c r="E33" i="4"/>
  <c r="D33" i="4"/>
  <c r="E32" i="4"/>
  <c r="D32" i="4"/>
  <c r="E31" i="4"/>
  <c r="D31" i="4"/>
  <c r="E30" i="4"/>
  <c r="D30" i="4"/>
  <c r="B29" i="4"/>
  <c r="E29" i="4" s="1"/>
  <c r="I28" i="4"/>
  <c r="E28" i="4"/>
  <c r="D28" i="4"/>
  <c r="E27" i="4"/>
  <c r="D27" i="4"/>
  <c r="I26" i="4"/>
  <c r="E26" i="4"/>
  <c r="D26" i="4"/>
  <c r="G25" i="4"/>
  <c r="J24" i="4"/>
  <c r="I24" i="4"/>
  <c r="E24" i="4"/>
  <c r="D24" i="4"/>
  <c r="J23" i="4"/>
  <c r="I23" i="4"/>
  <c r="E23" i="4"/>
  <c r="D23" i="4"/>
  <c r="E22" i="4"/>
  <c r="D22" i="4"/>
  <c r="I21" i="4"/>
  <c r="E21" i="4"/>
  <c r="D21" i="4"/>
  <c r="I20" i="4"/>
  <c r="E20" i="4"/>
  <c r="D20" i="4"/>
  <c r="E19" i="4"/>
  <c r="D19" i="4"/>
  <c r="E18" i="4"/>
  <c r="D18" i="4"/>
  <c r="G14" i="4"/>
  <c r="E14" i="4"/>
  <c r="D14" i="4"/>
  <c r="G13" i="4"/>
  <c r="E13" i="4"/>
  <c r="D13" i="4"/>
  <c r="J38" i="3"/>
  <c r="I38" i="3"/>
  <c r="J37" i="3"/>
  <c r="I37" i="3"/>
  <c r="J36" i="3"/>
  <c r="I36" i="3"/>
  <c r="J35" i="3"/>
  <c r="I35" i="3"/>
  <c r="J34" i="3"/>
  <c r="I34" i="3"/>
  <c r="J33" i="3"/>
  <c r="I33" i="3"/>
  <c r="J32" i="3"/>
  <c r="I32" i="3"/>
  <c r="J31" i="3"/>
  <c r="I31" i="3"/>
  <c r="J30" i="3"/>
  <c r="I30" i="3"/>
  <c r="G29" i="3"/>
  <c r="J28" i="3"/>
  <c r="I28" i="3"/>
  <c r="J27" i="3"/>
  <c r="I27" i="3"/>
  <c r="J26" i="3"/>
  <c r="I26" i="3"/>
  <c r="G25" i="3"/>
  <c r="J23" i="3"/>
  <c r="I23" i="3"/>
  <c r="J22" i="3"/>
  <c r="I22" i="3"/>
  <c r="J21" i="3"/>
  <c r="I21" i="3"/>
  <c r="J20" i="3"/>
  <c r="I20" i="3"/>
  <c r="J18" i="3"/>
  <c r="I18" i="3"/>
  <c r="G14" i="3"/>
  <c r="J14" i="3" s="1"/>
  <c r="G13" i="3"/>
  <c r="I12" i="3"/>
  <c r="J37" i="1"/>
  <c r="I37" i="1"/>
  <c r="J36" i="1"/>
  <c r="I36" i="1"/>
  <c r="J33" i="1"/>
  <c r="I33" i="1"/>
  <c r="H33" i="1"/>
  <c r="I30" i="1"/>
  <c r="J28" i="1"/>
  <c r="H28" i="1"/>
  <c r="J27" i="1"/>
  <c r="J23" i="1"/>
  <c r="I23" i="1"/>
  <c r="H23" i="1"/>
  <c r="J24" i="1"/>
  <c r="G24" i="1"/>
  <c r="I24" i="1" s="1"/>
  <c r="J21" i="1"/>
  <c r="J19" i="1"/>
  <c r="I19" i="1"/>
  <c r="H19" i="1"/>
  <c r="H17" i="1"/>
  <c r="I13" i="1"/>
  <c r="E13" i="1"/>
  <c r="E12" i="1"/>
  <c r="D13" i="1"/>
  <c r="D12" i="1"/>
  <c r="C13" i="1"/>
  <c r="C12" i="1"/>
  <c r="G12" i="1"/>
  <c r="J12" i="1" s="1"/>
  <c r="G13" i="1"/>
  <c r="J13" i="1" s="1"/>
  <c r="B11" i="1"/>
  <c r="B14" i="1" s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B29" i="1"/>
  <c r="E29" i="1" s="1"/>
  <c r="E28" i="1"/>
  <c r="D28" i="1"/>
  <c r="C28" i="1"/>
  <c r="E27" i="1"/>
  <c r="D27" i="1"/>
  <c r="C27" i="1"/>
  <c r="E25" i="1"/>
  <c r="D25" i="1"/>
  <c r="C25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8" i="3"/>
  <c r="D28" i="3"/>
  <c r="C28" i="3"/>
  <c r="E27" i="3"/>
  <c r="D27" i="3"/>
  <c r="C27" i="3"/>
  <c r="E26" i="3"/>
  <c r="D26" i="3"/>
  <c r="C26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B29" i="3"/>
  <c r="C29" i="3" s="1"/>
  <c r="C14" i="3"/>
  <c r="B15" i="3"/>
  <c r="D14" i="3"/>
  <c r="E14" i="3"/>
  <c r="E12" i="3"/>
  <c r="E15" i="3" s="1"/>
  <c r="D12" i="3"/>
  <c r="E13" i="3"/>
  <c r="D13" i="3"/>
  <c r="C13" i="3"/>
  <c r="I24" i="10" l="1"/>
  <c r="J24" i="10"/>
  <c r="H22" i="1"/>
  <c r="J30" i="1"/>
  <c r="H38" i="1"/>
  <c r="G29" i="4"/>
  <c r="I29" i="4" s="1"/>
  <c r="H21" i="8"/>
  <c r="B40" i="8"/>
  <c r="C40" i="8" s="1"/>
  <c r="D28" i="13" s="1"/>
  <c r="H31" i="9"/>
  <c r="H13" i="11"/>
  <c r="H18" i="11"/>
  <c r="H22" i="11"/>
  <c r="H28" i="11"/>
  <c r="B40" i="11"/>
  <c r="H26" i="12"/>
  <c r="H27" i="12"/>
  <c r="H30" i="8"/>
  <c r="H13" i="1"/>
  <c r="I22" i="1"/>
  <c r="I38" i="1"/>
  <c r="I22" i="4"/>
  <c r="H23" i="9"/>
  <c r="C15" i="11"/>
  <c r="I29" i="11"/>
  <c r="B41" i="9"/>
  <c r="J21" i="6"/>
  <c r="I26" i="5"/>
  <c r="H26" i="5"/>
  <c r="I36" i="6"/>
  <c r="H36" i="6"/>
  <c r="D29" i="3"/>
  <c r="J14" i="5"/>
  <c r="H14" i="5"/>
  <c r="J14" i="6"/>
  <c r="H14" i="6"/>
  <c r="I14" i="8"/>
  <c r="H14" i="8"/>
  <c r="J19" i="8"/>
  <c r="H19" i="8"/>
  <c r="I31" i="8"/>
  <c r="H31" i="8"/>
  <c r="J19" i="9"/>
  <c r="H19" i="9"/>
  <c r="J21" i="9"/>
  <c r="H21" i="9"/>
  <c r="J19" i="10"/>
  <c r="H19" i="10"/>
  <c r="J21" i="10"/>
  <c r="H21" i="10"/>
  <c r="I23" i="10"/>
  <c r="H23" i="10"/>
  <c r="B39" i="1"/>
  <c r="B40" i="1" s="1"/>
  <c r="E40" i="1" s="1"/>
  <c r="I25" i="12"/>
  <c r="H25" i="12"/>
  <c r="J39" i="12"/>
  <c r="H39" i="12"/>
  <c r="H40" i="9"/>
  <c r="E29" i="3"/>
  <c r="G11" i="1"/>
  <c r="I11" i="1" s="1"/>
  <c r="H24" i="1"/>
  <c r="H13" i="3"/>
  <c r="J26" i="4"/>
  <c r="J29" i="4"/>
  <c r="J34" i="4"/>
  <c r="J27" i="4"/>
  <c r="J35" i="4"/>
  <c r="J30" i="5"/>
  <c r="H30" i="5"/>
  <c r="J32" i="5"/>
  <c r="H32" i="5"/>
  <c r="I34" i="5"/>
  <c r="H34" i="5"/>
  <c r="I14" i="6"/>
  <c r="J27" i="6"/>
  <c r="H27" i="6"/>
  <c r="I34" i="6"/>
  <c r="C15" i="8"/>
  <c r="J23" i="8"/>
  <c r="H23" i="8"/>
  <c r="J31" i="8"/>
  <c r="J33" i="8"/>
  <c r="H33" i="8"/>
  <c r="J35" i="8"/>
  <c r="H35" i="8"/>
  <c r="J28" i="9"/>
  <c r="J32" i="9"/>
  <c r="H32" i="9"/>
  <c r="J34" i="9"/>
  <c r="H34" i="9"/>
  <c r="J36" i="9"/>
  <c r="H36" i="9"/>
  <c r="H38" i="9"/>
  <c r="H13" i="10"/>
  <c r="J23" i="10"/>
  <c r="I27" i="10"/>
  <c r="I13" i="11"/>
  <c r="H31" i="11"/>
  <c r="J33" i="11"/>
  <c r="H33" i="11"/>
  <c r="I35" i="11"/>
  <c r="H35" i="11"/>
  <c r="H37" i="11"/>
  <c r="I14" i="12"/>
  <c r="H14" i="12"/>
  <c r="H15" i="12" s="1"/>
  <c r="I27" i="12"/>
  <c r="D15" i="3"/>
  <c r="H12" i="1"/>
  <c r="H14" i="1" s="1"/>
  <c r="I14" i="3"/>
  <c r="H14" i="3"/>
  <c r="H15" i="3" s="1"/>
  <c r="J13" i="4"/>
  <c r="J34" i="5"/>
  <c r="H36" i="5"/>
  <c r="I21" i="6"/>
  <c r="J31" i="6"/>
  <c r="H31" i="6"/>
  <c r="J34" i="6"/>
  <c r="H19" i="3"/>
  <c r="J37" i="8"/>
  <c r="H37" i="8"/>
  <c r="I39" i="8"/>
  <c r="H39" i="8"/>
  <c r="J27" i="8"/>
  <c r="H27" i="8"/>
  <c r="H26" i="9"/>
  <c r="I38" i="9"/>
  <c r="I13" i="10"/>
  <c r="J27" i="10"/>
  <c r="I29" i="10"/>
  <c r="H29" i="10"/>
  <c r="H37" i="10"/>
  <c r="J39" i="10"/>
  <c r="H39" i="10"/>
  <c r="B39" i="3"/>
  <c r="E39" i="3" s="1"/>
  <c r="J13" i="11"/>
  <c r="H26" i="11"/>
  <c r="H29" i="11"/>
  <c r="J19" i="12"/>
  <c r="H19" i="12"/>
  <c r="I21" i="12"/>
  <c r="H21" i="12"/>
  <c r="J23" i="12"/>
  <c r="H23" i="12"/>
  <c r="J27" i="12"/>
  <c r="I29" i="12"/>
  <c r="H29" i="12"/>
  <c r="B40" i="12"/>
  <c r="J18" i="4"/>
  <c r="J38" i="5"/>
  <c r="H38" i="5"/>
  <c r="J23" i="6"/>
  <c r="H23" i="6"/>
  <c r="J38" i="6"/>
  <c r="H38" i="6"/>
  <c r="I29" i="8"/>
  <c r="H29" i="8"/>
  <c r="I26" i="10"/>
  <c r="H26" i="10"/>
  <c r="J32" i="10"/>
  <c r="H32" i="10"/>
  <c r="J32" i="12"/>
  <c r="H32" i="12"/>
  <c r="J37" i="4"/>
  <c r="I13" i="5"/>
  <c r="H13" i="5"/>
  <c r="H15" i="5" s="1"/>
  <c r="I20" i="5"/>
  <c r="H20" i="5"/>
  <c r="I28" i="5"/>
  <c r="H28" i="5"/>
  <c r="J13" i="6"/>
  <c r="H13" i="6"/>
  <c r="I33" i="6"/>
  <c r="H33" i="6"/>
  <c r="J28" i="6"/>
  <c r="H28" i="6"/>
  <c r="I13" i="8"/>
  <c r="H13" i="8"/>
  <c r="H15" i="8" s="1"/>
  <c r="J20" i="8"/>
  <c r="H20" i="8"/>
  <c r="J18" i="9"/>
  <c r="H18" i="9"/>
  <c r="H22" i="9"/>
  <c r="H27" i="9"/>
  <c r="J18" i="10"/>
  <c r="H18" i="10"/>
  <c r="J26" i="10"/>
  <c r="B39" i="4"/>
  <c r="J25" i="4"/>
  <c r="I30" i="4"/>
  <c r="J21" i="4"/>
  <c r="J31" i="4"/>
  <c r="J31" i="5"/>
  <c r="H31" i="5"/>
  <c r="J20" i="6"/>
  <c r="H20" i="6"/>
  <c r="J29" i="6"/>
  <c r="H29" i="6"/>
  <c r="G24" i="6"/>
  <c r="I36" i="8"/>
  <c r="H36" i="8"/>
  <c r="J31" i="9"/>
  <c r="H37" i="9"/>
  <c r="I27" i="9"/>
  <c r="I36" i="10"/>
  <c r="H36" i="10"/>
  <c r="B40" i="10"/>
  <c r="J34" i="11"/>
  <c r="H34" i="11"/>
  <c r="J35" i="1"/>
  <c r="J25" i="3"/>
  <c r="H25" i="3"/>
  <c r="J30" i="4"/>
  <c r="J32" i="4"/>
  <c r="G29" i="1"/>
  <c r="J35" i="5"/>
  <c r="H35" i="5"/>
  <c r="I18" i="6"/>
  <c r="B40" i="6"/>
  <c r="D40" i="6" s="1"/>
  <c r="C14" i="13" s="1"/>
  <c r="J36" i="8"/>
  <c r="I38" i="8"/>
  <c r="H38" i="8"/>
  <c r="J25" i="9"/>
  <c r="H25" i="9"/>
  <c r="J27" i="9"/>
  <c r="H28" i="10"/>
  <c r="J36" i="10"/>
  <c r="I38" i="10"/>
  <c r="H38" i="10"/>
  <c r="H24" i="10"/>
  <c r="I14" i="11"/>
  <c r="H14" i="11"/>
  <c r="H15" i="11" s="1"/>
  <c r="I25" i="11"/>
  <c r="H25" i="11"/>
  <c r="H27" i="11"/>
  <c r="J28" i="11"/>
  <c r="I38" i="11"/>
  <c r="J18" i="12"/>
  <c r="H18" i="12"/>
  <c r="H20" i="12"/>
  <c r="J22" i="12"/>
  <c r="H22" i="12"/>
  <c r="H28" i="12"/>
  <c r="J40" i="9"/>
  <c r="I12" i="1"/>
  <c r="J26" i="8"/>
  <c r="H26" i="8"/>
  <c r="J13" i="9"/>
  <c r="H13" i="9"/>
  <c r="J34" i="10"/>
  <c r="H34" i="10"/>
  <c r="J20" i="11"/>
  <c r="H20" i="11"/>
  <c r="I34" i="12"/>
  <c r="H34" i="12"/>
  <c r="J36" i="12"/>
  <c r="H36" i="12"/>
  <c r="H24" i="12"/>
  <c r="I18" i="5"/>
  <c r="H18" i="5"/>
  <c r="J22" i="5"/>
  <c r="H22" i="5"/>
  <c r="J26" i="5"/>
  <c r="I26" i="6"/>
  <c r="H26" i="6"/>
  <c r="H34" i="3"/>
  <c r="H26" i="3"/>
  <c r="H32" i="3"/>
  <c r="H33" i="3"/>
  <c r="H23" i="3"/>
  <c r="H37" i="3"/>
  <c r="H20" i="3"/>
  <c r="H36" i="3"/>
  <c r="H28" i="3"/>
  <c r="H27" i="3"/>
  <c r="H22" i="3"/>
  <c r="H21" i="3"/>
  <c r="H18" i="3"/>
  <c r="H38" i="3"/>
  <c r="H35" i="3"/>
  <c r="H31" i="3"/>
  <c r="H30" i="3"/>
  <c r="J18" i="8"/>
  <c r="H18" i="8"/>
  <c r="I22" i="8"/>
  <c r="H22" i="8"/>
  <c r="H20" i="9"/>
  <c r="I31" i="9"/>
  <c r="I22" i="10"/>
  <c r="H22" i="10"/>
  <c r="I38" i="12"/>
  <c r="H38" i="12"/>
  <c r="H34" i="1"/>
  <c r="J29" i="3"/>
  <c r="H29" i="3"/>
  <c r="J20" i="4"/>
  <c r="J26" i="6"/>
  <c r="H24" i="5"/>
  <c r="G12" i="5"/>
  <c r="J22" i="8"/>
  <c r="J32" i="8"/>
  <c r="H32" i="8"/>
  <c r="J34" i="8"/>
  <c r="H34" i="8"/>
  <c r="I29" i="9"/>
  <c r="H29" i="9"/>
  <c r="J33" i="9"/>
  <c r="H33" i="9"/>
  <c r="J35" i="9"/>
  <c r="H35" i="9"/>
  <c r="G39" i="4"/>
  <c r="I28" i="11"/>
  <c r="I32" i="11"/>
  <c r="H32" i="11"/>
  <c r="J36" i="11"/>
  <c r="H36" i="11"/>
  <c r="G40" i="11"/>
  <c r="H40" i="11" s="1"/>
  <c r="J13" i="12"/>
  <c r="C15" i="3"/>
  <c r="H25" i="1"/>
  <c r="I38" i="4"/>
  <c r="J33" i="4"/>
  <c r="I37" i="5"/>
  <c r="H37" i="5"/>
  <c r="H25" i="5"/>
  <c r="I22" i="6"/>
  <c r="H22" i="6"/>
  <c r="H32" i="6"/>
  <c r="I35" i="6"/>
  <c r="J37" i="6"/>
  <c r="H37" i="6"/>
  <c r="J39" i="6"/>
  <c r="H39" i="6"/>
  <c r="H19" i="6"/>
  <c r="H24" i="8"/>
  <c r="G12" i="8"/>
  <c r="J12" i="8" s="1"/>
  <c r="J25" i="8"/>
  <c r="H25" i="8"/>
  <c r="H28" i="8"/>
  <c r="I14" i="9"/>
  <c r="H14" i="9"/>
  <c r="H30" i="9"/>
  <c r="H39" i="9"/>
  <c r="G24" i="9"/>
  <c r="G41" i="9" s="1"/>
  <c r="H41" i="9" s="1"/>
  <c r="E29" i="13" s="1"/>
  <c r="I14" i="10"/>
  <c r="H14" i="10"/>
  <c r="I25" i="10"/>
  <c r="H25" i="10"/>
  <c r="J31" i="10"/>
  <c r="H31" i="10"/>
  <c r="J33" i="10"/>
  <c r="H33" i="10"/>
  <c r="H35" i="10"/>
  <c r="B39" i="5"/>
  <c r="J14" i="11"/>
  <c r="I19" i="11"/>
  <c r="H19" i="11"/>
  <c r="H21" i="11"/>
  <c r="I23" i="11"/>
  <c r="H23" i="11"/>
  <c r="I27" i="11"/>
  <c r="J38" i="11"/>
  <c r="J24" i="12"/>
  <c r="J31" i="12"/>
  <c r="H31" i="12"/>
  <c r="H33" i="12"/>
  <c r="H35" i="12"/>
  <c r="H37" i="12"/>
  <c r="I40" i="9"/>
  <c r="H24" i="11"/>
  <c r="B15" i="10"/>
  <c r="J38" i="12"/>
  <c r="I37" i="12"/>
  <c r="I36" i="12"/>
  <c r="J29" i="12"/>
  <c r="I28" i="12"/>
  <c r="J28" i="12"/>
  <c r="C40" i="12"/>
  <c r="D32" i="13" s="1"/>
  <c r="I23" i="12"/>
  <c r="J14" i="12"/>
  <c r="I13" i="12"/>
  <c r="C15" i="12"/>
  <c r="J12" i="12"/>
  <c r="E15" i="12"/>
  <c r="I20" i="12"/>
  <c r="J21" i="12"/>
  <c r="J25" i="12"/>
  <c r="E30" i="12"/>
  <c r="I33" i="12"/>
  <c r="J34" i="12"/>
  <c r="I19" i="12"/>
  <c r="J20" i="12"/>
  <c r="G30" i="12"/>
  <c r="H30" i="12" s="1"/>
  <c r="I32" i="12"/>
  <c r="J33" i="12"/>
  <c r="I22" i="12"/>
  <c r="I26" i="12"/>
  <c r="C30" i="12"/>
  <c r="I35" i="12"/>
  <c r="J26" i="12"/>
  <c r="J35" i="12"/>
  <c r="D12" i="12"/>
  <c r="D15" i="12" s="1"/>
  <c r="I18" i="12"/>
  <c r="I31" i="12"/>
  <c r="I39" i="12"/>
  <c r="I39" i="11"/>
  <c r="J39" i="11"/>
  <c r="I37" i="11"/>
  <c r="J37" i="11"/>
  <c r="I36" i="11"/>
  <c r="J32" i="11"/>
  <c r="I31" i="11"/>
  <c r="J31" i="11"/>
  <c r="E40" i="11"/>
  <c r="I18" i="11"/>
  <c r="J18" i="11"/>
  <c r="G15" i="11"/>
  <c r="E12" i="11"/>
  <c r="E15" i="11" s="1"/>
  <c r="D12" i="11"/>
  <c r="D15" i="11" s="1"/>
  <c r="J19" i="11"/>
  <c r="I30" i="11"/>
  <c r="J30" i="11"/>
  <c r="I12" i="11"/>
  <c r="I22" i="11"/>
  <c r="I26" i="11"/>
  <c r="C30" i="11"/>
  <c r="I21" i="11"/>
  <c r="J22" i="11"/>
  <c r="J26" i="11"/>
  <c r="D30" i="11"/>
  <c r="I34" i="11"/>
  <c r="J35" i="11"/>
  <c r="I20" i="11"/>
  <c r="J21" i="11"/>
  <c r="J25" i="11"/>
  <c r="E30" i="11"/>
  <c r="I33" i="11"/>
  <c r="J12" i="11"/>
  <c r="J22" i="10"/>
  <c r="J38" i="10"/>
  <c r="I37" i="10"/>
  <c r="J37" i="10"/>
  <c r="J29" i="10"/>
  <c r="I28" i="10"/>
  <c r="J28" i="10"/>
  <c r="C15" i="10"/>
  <c r="G12" i="10"/>
  <c r="G15" i="10" s="1"/>
  <c r="E15" i="10"/>
  <c r="I21" i="10"/>
  <c r="D30" i="10"/>
  <c r="I34" i="10"/>
  <c r="I20" i="10"/>
  <c r="J25" i="10"/>
  <c r="I33" i="10"/>
  <c r="I19" i="10"/>
  <c r="J20" i="10"/>
  <c r="G30" i="10"/>
  <c r="H30" i="10" s="1"/>
  <c r="I32" i="10"/>
  <c r="D12" i="10"/>
  <c r="D15" i="10" s="1"/>
  <c r="I18" i="10"/>
  <c r="I31" i="10"/>
  <c r="I39" i="10"/>
  <c r="C30" i="10"/>
  <c r="H26" i="1"/>
  <c r="I26" i="1"/>
  <c r="I39" i="9"/>
  <c r="I37" i="9"/>
  <c r="J37" i="9"/>
  <c r="I36" i="9"/>
  <c r="I28" i="9"/>
  <c r="E41" i="9"/>
  <c r="I23" i="9"/>
  <c r="J23" i="9"/>
  <c r="I22" i="9"/>
  <c r="J22" i="9"/>
  <c r="H15" i="9"/>
  <c r="I13" i="9"/>
  <c r="G15" i="9"/>
  <c r="C15" i="9"/>
  <c r="E12" i="9"/>
  <c r="E15" i="9" s="1"/>
  <c r="B15" i="9"/>
  <c r="D12" i="9"/>
  <c r="D15" i="9" s="1"/>
  <c r="I12" i="9"/>
  <c r="J12" i="9"/>
  <c r="J15" i="9" s="1"/>
  <c r="I30" i="9"/>
  <c r="J30" i="9"/>
  <c r="I21" i="9"/>
  <c r="I25" i="9"/>
  <c r="C30" i="9"/>
  <c r="I35" i="9"/>
  <c r="I20" i="9"/>
  <c r="D30" i="9"/>
  <c r="I34" i="9"/>
  <c r="I19" i="9"/>
  <c r="J20" i="9"/>
  <c r="E30" i="9"/>
  <c r="I33" i="9"/>
  <c r="I18" i="9"/>
  <c r="I32" i="9"/>
  <c r="J39" i="8"/>
  <c r="J38" i="8"/>
  <c r="I37" i="8"/>
  <c r="I32" i="8"/>
  <c r="G40" i="8"/>
  <c r="H40" i="8" s="1"/>
  <c r="E28" i="13" s="1"/>
  <c r="J29" i="8"/>
  <c r="J28" i="8"/>
  <c r="I28" i="8"/>
  <c r="I27" i="8"/>
  <c r="I26" i="8"/>
  <c r="I23" i="8"/>
  <c r="I18" i="8"/>
  <c r="J14" i="8"/>
  <c r="J13" i="8"/>
  <c r="D12" i="8"/>
  <c r="D15" i="8" s="1"/>
  <c r="E12" i="8"/>
  <c r="E15" i="8" s="1"/>
  <c r="B15" i="8"/>
  <c r="I12" i="8"/>
  <c r="I30" i="8"/>
  <c r="J30" i="8"/>
  <c r="I21" i="8"/>
  <c r="I25" i="8"/>
  <c r="C30" i="8"/>
  <c r="I35" i="8"/>
  <c r="I20" i="8"/>
  <c r="J21" i="8"/>
  <c r="D30" i="8"/>
  <c r="I34" i="8"/>
  <c r="I19" i="8"/>
  <c r="E30" i="8"/>
  <c r="I33" i="8"/>
  <c r="I19" i="6"/>
  <c r="I39" i="6"/>
  <c r="J36" i="6"/>
  <c r="J35" i="6"/>
  <c r="I28" i="6"/>
  <c r="C30" i="6"/>
  <c r="D30" i="6"/>
  <c r="E30" i="6"/>
  <c r="G30" i="6"/>
  <c r="J22" i="6"/>
  <c r="I20" i="6"/>
  <c r="B15" i="6"/>
  <c r="C15" i="6"/>
  <c r="D12" i="6"/>
  <c r="D15" i="6" s="1"/>
  <c r="E12" i="6"/>
  <c r="E15" i="6"/>
  <c r="I25" i="6"/>
  <c r="J25" i="6"/>
  <c r="G15" i="6"/>
  <c r="H15" i="6" s="1"/>
  <c r="J12" i="6"/>
  <c r="I12" i="6"/>
  <c r="I15" i="6" s="1"/>
  <c r="J33" i="6"/>
  <c r="J18" i="6"/>
  <c r="I13" i="6"/>
  <c r="I29" i="6"/>
  <c r="I38" i="6"/>
  <c r="J19" i="6"/>
  <c r="J32" i="6"/>
  <c r="I23" i="6"/>
  <c r="I27" i="6"/>
  <c r="I37" i="6"/>
  <c r="I36" i="5"/>
  <c r="I35" i="5"/>
  <c r="I27" i="5"/>
  <c r="J27" i="5"/>
  <c r="I23" i="5"/>
  <c r="J23" i="5"/>
  <c r="I22" i="5"/>
  <c r="I21" i="5"/>
  <c r="J21" i="5"/>
  <c r="J12" i="5"/>
  <c r="I12" i="5"/>
  <c r="G15" i="5"/>
  <c r="J20" i="5"/>
  <c r="J13" i="5"/>
  <c r="B15" i="5"/>
  <c r="J28" i="5"/>
  <c r="J37" i="5"/>
  <c r="C29" i="5"/>
  <c r="I33" i="5"/>
  <c r="E29" i="5"/>
  <c r="J33" i="5"/>
  <c r="G29" i="5"/>
  <c r="H29" i="5" s="1"/>
  <c r="I31" i="5"/>
  <c r="E12" i="5"/>
  <c r="E15" i="5" s="1"/>
  <c r="I14" i="5"/>
  <c r="J18" i="5"/>
  <c r="I30" i="5"/>
  <c r="I38" i="5"/>
  <c r="I19" i="5"/>
  <c r="I32" i="5"/>
  <c r="D12" i="5"/>
  <c r="D15" i="5" s="1"/>
  <c r="H31" i="1"/>
  <c r="I31" i="1"/>
  <c r="I25" i="1"/>
  <c r="J34" i="1"/>
  <c r="H27" i="1"/>
  <c r="I32" i="1"/>
  <c r="H35" i="1"/>
  <c r="H32" i="1"/>
  <c r="H20" i="1"/>
  <c r="I20" i="1"/>
  <c r="H21" i="1"/>
  <c r="I17" i="1"/>
  <c r="I31" i="4"/>
  <c r="I33" i="4"/>
  <c r="I27" i="4"/>
  <c r="I18" i="4"/>
  <c r="D29" i="4"/>
  <c r="D39" i="4"/>
  <c r="C12" i="13" s="1"/>
  <c r="I19" i="4"/>
  <c r="I14" i="4"/>
  <c r="I13" i="4"/>
  <c r="J14" i="4"/>
  <c r="I25" i="4"/>
  <c r="J12" i="3"/>
  <c r="G15" i="3"/>
  <c r="I29" i="3"/>
  <c r="C39" i="3"/>
  <c r="D24" i="13" s="1"/>
  <c r="F24" i="13" s="1"/>
  <c r="G24" i="13" s="1"/>
  <c r="D39" i="3"/>
  <c r="C11" i="13" s="1"/>
  <c r="I13" i="3"/>
  <c r="I15" i="3" s="1"/>
  <c r="J19" i="3"/>
  <c r="J13" i="3"/>
  <c r="I25" i="3"/>
  <c r="I18" i="1"/>
  <c r="J18" i="1"/>
  <c r="G14" i="1"/>
  <c r="C14" i="1"/>
  <c r="J11" i="1"/>
  <c r="J14" i="1" s="1"/>
  <c r="D11" i="1"/>
  <c r="D14" i="1" s="1"/>
  <c r="E11" i="1"/>
  <c r="E14" i="1" s="1"/>
  <c r="C29" i="1"/>
  <c r="D29" i="1"/>
  <c r="I15" i="11" l="1"/>
  <c r="J15" i="8"/>
  <c r="I14" i="1"/>
  <c r="I15" i="8"/>
  <c r="J15" i="11"/>
  <c r="C39" i="1"/>
  <c r="D39" i="1"/>
  <c r="G40" i="10"/>
  <c r="H40" i="10" s="1"/>
  <c r="B41" i="10"/>
  <c r="D17" i="13" s="1"/>
  <c r="G40" i="6"/>
  <c r="J40" i="6" s="1"/>
  <c r="H15" i="10"/>
  <c r="H40" i="6"/>
  <c r="E27" i="13" s="1"/>
  <c r="J30" i="6"/>
  <c r="H30" i="6"/>
  <c r="E39" i="1"/>
  <c r="F28" i="13"/>
  <c r="G28" i="13" s="1"/>
  <c r="H29" i="1"/>
  <c r="J29" i="1"/>
  <c r="I29" i="1"/>
  <c r="G39" i="1"/>
  <c r="G40" i="1" s="1"/>
  <c r="G15" i="8"/>
  <c r="J24" i="6"/>
  <c r="H24" i="6"/>
  <c r="I24" i="6"/>
  <c r="J15" i="6"/>
  <c r="E31" i="13"/>
  <c r="E30" i="13"/>
  <c r="F30" i="13" s="1"/>
  <c r="G30" i="13" s="1"/>
  <c r="B40" i="3"/>
  <c r="D11" i="13" s="1"/>
  <c r="E40" i="6"/>
  <c r="J15" i="12"/>
  <c r="H24" i="9"/>
  <c r="J24" i="9"/>
  <c r="I24" i="9"/>
  <c r="G40" i="12"/>
  <c r="H40" i="12" s="1"/>
  <c r="E32" i="13" s="1"/>
  <c r="F32" i="13" s="1"/>
  <c r="G32" i="13" s="1"/>
  <c r="B41" i="6"/>
  <c r="D41" i="6" s="1"/>
  <c r="C40" i="6"/>
  <c r="D27" i="13" s="1"/>
  <c r="I30" i="6"/>
  <c r="G39" i="5"/>
  <c r="H39" i="5" s="1"/>
  <c r="E26" i="13" s="1"/>
  <c r="J15" i="3"/>
  <c r="E40" i="12"/>
  <c r="D40" i="12"/>
  <c r="C19" i="13" s="1"/>
  <c r="B41" i="12"/>
  <c r="G15" i="12"/>
  <c r="G41" i="12" s="1"/>
  <c r="I12" i="12"/>
  <c r="I15" i="12" s="1"/>
  <c r="I30" i="12"/>
  <c r="J30" i="12"/>
  <c r="B41" i="11"/>
  <c r="C40" i="11"/>
  <c r="D31" i="13" s="1"/>
  <c r="D40" i="11"/>
  <c r="C18" i="13" s="1"/>
  <c r="J40" i="11"/>
  <c r="I40" i="11"/>
  <c r="G41" i="11"/>
  <c r="J12" i="10"/>
  <c r="J15" i="10" s="1"/>
  <c r="I12" i="10"/>
  <c r="I15" i="10" s="1"/>
  <c r="E41" i="10"/>
  <c r="D41" i="10"/>
  <c r="C41" i="10"/>
  <c r="I30" i="10"/>
  <c r="J30" i="10"/>
  <c r="E40" i="10"/>
  <c r="D40" i="10"/>
  <c r="C17" i="13" s="1"/>
  <c r="C40" i="10"/>
  <c r="D30" i="13" s="1"/>
  <c r="H39" i="1"/>
  <c r="D41" i="9"/>
  <c r="C16" i="13" s="1"/>
  <c r="B42" i="9"/>
  <c r="C41" i="9"/>
  <c r="D29" i="13" s="1"/>
  <c r="F29" i="13" s="1"/>
  <c r="G29" i="13" s="1"/>
  <c r="I15" i="9"/>
  <c r="J41" i="9"/>
  <c r="I41" i="9"/>
  <c r="G42" i="9"/>
  <c r="E40" i="8"/>
  <c r="B41" i="8"/>
  <c r="D40" i="8"/>
  <c r="C15" i="13" s="1"/>
  <c r="J40" i="8"/>
  <c r="I40" i="8"/>
  <c r="G41" i="8"/>
  <c r="G40" i="3"/>
  <c r="G41" i="6"/>
  <c r="I40" i="6"/>
  <c r="C41" i="6"/>
  <c r="E39" i="5"/>
  <c r="D39" i="5"/>
  <c r="C13" i="13" s="1"/>
  <c r="C39" i="5"/>
  <c r="D26" i="13" s="1"/>
  <c r="I29" i="5"/>
  <c r="J29" i="5"/>
  <c r="I15" i="5"/>
  <c r="I39" i="5"/>
  <c r="B40" i="5"/>
  <c r="D13" i="13" s="1"/>
  <c r="J15" i="5"/>
  <c r="I39" i="3"/>
  <c r="E39" i="4"/>
  <c r="J39" i="4"/>
  <c r="I39" i="4"/>
  <c r="E40" i="3"/>
  <c r="D40" i="3"/>
  <c r="C40" i="3"/>
  <c r="J39" i="3"/>
  <c r="I39" i="1"/>
  <c r="C40" i="1"/>
  <c r="D40" i="1"/>
  <c r="G41" i="10" l="1"/>
  <c r="E17" i="13" s="1"/>
  <c r="F17" i="13" s="1"/>
  <c r="G17" i="13" s="1"/>
  <c r="I40" i="10"/>
  <c r="J40" i="10"/>
  <c r="H40" i="1"/>
  <c r="I40" i="1"/>
  <c r="E15" i="13"/>
  <c r="H41" i="8"/>
  <c r="F26" i="13"/>
  <c r="G26" i="13" s="1"/>
  <c r="E18" i="13"/>
  <c r="H41" i="11"/>
  <c r="J39" i="5"/>
  <c r="G40" i="5"/>
  <c r="I40" i="5" s="1"/>
  <c r="E19" i="13"/>
  <c r="H41" i="12"/>
  <c r="E41" i="6"/>
  <c r="D14" i="13"/>
  <c r="J39" i="1"/>
  <c r="E14" i="13"/>
  <c r="H41" i="6"/>
  <c r="E16" i="13"/>
  <c r="H42" i="9"/>
  <c r="E11" i="13"/>
  <c r="F11" i="13" s="1"/>
  <c r="G11" i="13" s="1"/>
  <c r="H40" i="3"/>
  <c r="F31" i="13"/>
  <c r="G31" i="13" s="1"/>
  <c r="F27" i="13"/>
  <c r="G27" i="13" s="1"/>
  <c r="C41" i="12"/>
  <c r="D19" i="13"/>
  <c r="F19" i="13" s="1"/>
  <c r="G19" i="13" s="1"/>
  <c r="E41" i="11"/>
  <c r="D18" i="13"/>
  <c r="E41" i="8"/>
  <c r="D15" i="13"/>
  <c r="F15" i="13" s="1"/>
  <c r="G15" i="13" s="1"/>
  <c r="D42" i="9"/>
  <c r="D16" i="13"/>
  <c r="D41" i="12"/>
  <c r="E41" i="12"/>
  <c r="J41" i="12"/>
  <c r="I41" i="12"/>
  <c r="J40" i="12"/>
  <c r="I40" i="12"/>
  <c r="C41" i="11"/>
  <c r="D41" i="11"/>
  <c r="J41" i="11"/>
  <c r="I41" i="11"/>
  <c r="J40" i="3"/>
  <c r="J41" i="10"/>
  <c r="I41" i="10"/>
  <c r="H41" i="10"/>
  <c r="J40" i="1"/>
  <c r="E42" i="9"/>
  <c r="C42" i="9"/>
  <c r="J42" i="9"/>
  <c r="I42" i="9"/>
  <c r="D41" i="8"/>
  <c r="C41" i="8"/>
  <c r="J41" i="8"/>
  <c r="I41" i="8"/>
  <c r="I40" i="3"/>
  <c r="J41" i="6"/>
  <c r="I41" i="6"/>
  <c r="J40" i="5"/>
  <c r="E40" i="5"/>
  <c r="C40" i="5"/>
  <c r="D40" i="5"/>
  <c r="C18" i="4"/>
  <c r="C37" i="4"/>
  <c r="C31" i="4"/>
  <c r="C30" i="4"/>
  <c r="C36" i="4"/>
  <c r="C19" i="4"/>
  <c r="D12" i="4"/>
  <c r="D15" i="4" s="1"/>
  <c r="C13" i="4"/>
  <c r="B15" i="4"/>
  <c r="B40" i="4" s="1"/>
  <c r="D12" i="13" s="1"/>
  <c r="C29" i="4"/>
  <c r="E12" i="4"/>
  <c r="E15" i="4" s="1"/>
  <c r="F14" i="13" l="1"/>
  <c r="G14" i="13" s="1"/>
  <c r="F16" i="13"/>
  <c r="G16" i="13" s="1"/>
  <c r="F18" i="13"/>
  <c r="G18" i="13" s="1"/>
  <c r="E13" i="13"/>
  <c r="F13" i="13" s="1"/>
  <c r="G13" i="13" s="1"/>
  <c r="H40" i="5"/>
  <c r="C24" i="4"/>
  <c r="C20" i="4"/>
  <c r="C39" i="4"/>
  <c r="D25" i="13" s="1"/>
  <c r="C32" i="4"/>
  <c r="C34" i="4"/>
  <c r="C27" i="4"/>
  <c r="C14" i="4"/>
  <c r="C15" i="4" s="1"/>
  <c r="E40" i="4"/>
  <c r="C33" i="4"/>
  <c r="C26" i="4"/>
  <c r="C35" i="4"/>
  <c r="C40" i="4"/>
  <c r="C22" i="4"/>
  <c r="G5" i="4"/>
  <c r="C38" i="4"/>
  <c r="C21" i="4"/>
  <c r="C23" i="4"/>
  <c r="B6" i="4"/>
  <c r="D40" i="4"/>
  <c r="C28" i="4"/>
  <c r="H14" i="4"/>
  <c r="G12" i="4" l="1"/>
  <c r="H26" i="4"/>
  <c r="H36" i="4"/>
  <c r="H25" i="4"/>
  <c r="H23" i="4"/>
  <c r="H33" i="4"/>
  <c r="H22" i="4"/>
  <c r="H37" i="4"/>
  <c r="H34" i="4"/>
  <c r="H19" i="4"/>
  <c r="H21" i="4"/>
  <c r="H27" i="4"/>
  <c r="H31" i="4"/>
  <c r="H32" i="4"/>
  <c r="H20" i="4"/>
  <c r="H24" i="4"/>
  <c r="H13" i="4"/>
  <c r="H18" i="4"/>
  <c r="H30" i="4"/>
  <c r="H29" i="4"/>
  <c r="H38" i="4"/>
  <c r="H35" i="4"/>
  <c r="H28" i="4"/>
  <c r="H39" i="4"/>
  <c r="E25" i="13" s="1"/>
  <c r="F25" i="13" s="1"/>
  <c r="G25" i="13" s="1"/>
  <c r="H15" i="4"/>
  <c r="J12" i="4" l="1"/>
  <c r="J15" i="4" s="1"/>
  <c r="G15" i="4"/>
  <c r="G40" i="4" s="1"/>
  <c r="I12" i="4"/>
  <c r="I15" i="4" s="1"/>
  <c r="H40" i="4" l="1"/>
  <c r="E12" i="13"/>
  <c r="F12" i="13" s="1"/>
  <c r="G12" i="13" s="1"/>
  <c r="I40" i="4"/>
  <c r="J40" i="4"/>
</calcChain>
</file>

<file path=xl/comments1.xml><?xml version="1.0" encoding="utf-8"?>
<comments xmlns="http://schemas.openxmlformats.org/spreadsheetml/2006/main">
  <authors>
    <author>Graeme</author>
  </authors>
  <commentList>
    <comment ref="G24" authorId="0" shapeId="0">
      <text>
        <r>
          <rPr>
            <b/>
            <sz val="9"/>
            <color indexed="81"/>
            <rFont val="Tahoma"/>
            <family val="2"/>
          </rPr>
          <t>Graeme:</t>
        </r>
        <r>
          <rPr>
            <sz val="9"/>
            <color indexed="81"/>
            <rFont val="Tahoma"/>
            <family val="2"/>
          </rPr>
          <t xml:space="preserve">
Meal for calf rearing
</t>
        </r>
      </text>
    </comment>
  </commentList>
</comments>
</file>

<file path=xl/comments2.xml><?xml version="1.0" encoding="utf-8"?>
<comments xmlns="http://schemas.openxmlformats.org/spreadsheetml/2006/main">
  <authors>
    <author>Graeme</author>
  </authors>
  <commentList>
    <comment ref="G25" authorId="0" shapeId="0">
      <text>
        <r>
          <rPr>
            <b/>
            <sz val="9"/>
            <color indexed="81"/>
            <rFont val="Tahoma"/>
            <family val="2"/>
          </rPr>
          <t>Graeme:</t>
        </r>
        <r>
          <rPr>
            <sz val="9"/>
            <color indexed="81"/>
            <rFont val="Tahoma"/>
            <family val="2"/>
          </rPr>
          <t xml:space="preserve">
50% of total cost falls to the sharemilker.</t>
        </r>
      </text>
    </comment>
  </commentList>
</comments>
</file>

<file path=xl/comments3.xml><?xml version="1.0" encoding="utf-8"?>
<comments xmlns="http://schemas.openxmlformats.org/spreadsheetml/2006/main">
  <authors>
    <author>Graeme</author>
  </authors>
  <commentList>
    <comment ref="A14" authorId="0" shapeId="0">
      <text>
        <r>
          <rPr>
            <b/>
            <sz val="9"/>
            <color indexed="81"/>
            <rFont val="Tahoma"/>
            <family val="2"/>
          </rPr>
          <t>Graeme:</t>
        </r>
        <r>
          <rPr>
            <sz val="9"/>
            <color indexed="81"/>
            <rFont val="Tahoma"/>
            <family val="2"/>
          </rPr>
          <t xml:space="preserve">
Huh?
</t>
        </r>
      </text>
    </comment>
  </commentList>
</comments>
</file>

<file path=xl/sharedStrings.xml><?xml version="1.0" encoding="utf-8"?>
<sst xmlns="http://schemas.openxmlformats.org/spreadsheetml/2006/main" count="627" uniqueCount="106">
  <si>
    <t>This owner/operator business in Awanui in the far North, peak milks 730 cows on 231ha (effective).  For 2015/16 they are budgeting on producing 300,000 kgMS, 411 KgMS/cow and 3.16 cows/ha, with approximately 900kg/cow of PKE being fed.</t>
  </si>
  <si>
    <t>Income</t>
  </si>
  <si>
    <t>Dairy Cash Income</t>
  </si>
  <si>
    <t>Milk income</t>
  </si>
  <si>
    <t>Stock sales</t>
  </si>
  <si>
    <t>Other dairy income</t>
  </si>
  <si>
    <t>$TOTAL</t>
  </si>
  <si>
    <t>$KgMS</t>
  </si>
  <si>
    <t>$/COW</t>
  </si>
  <si>
    <t>$/HA</t>
  </si>
  <si>
    <t>Total</t>
  </si>
  <si>
    <t>Expenses</t>
  </si>
  <si>
    <t>Wages (incl. ACC)</t>
  </si>
  <si>
    <t>Animal Health</t>
  </si>
  <si>
    <t>Breeding and herd improvement</t>
  </si>
  <si>
    <t>Farm Dairy</t>
  </si>
  <si>
    <t>Electricity (farm dairy, water supply)</t>
  </si>
  <si>
    <t>Supplements made (incl. Contractors)</t>
  </si>
  <si>
    <t>Supplements purchased</t>
  </si>
  <si>
    <t>Young stock grazing</t>
  </si>
  <si>
    <t>Run off lease</t>
  </si>
  <si>
    <t>Winter cow grazing</t>
  </si>
  <si>
    <t>Fertiliser (incl. N)</t>
  </si>
  <si>
    <t>Regrassing &amp; cropping</t>
  </si>
  <si>
    <t>Weed and Pest</t>
  </si>
  <si>
    <t>Vehicles &amp; fuel</t>
  </si>
  <si>
    <t>R&amp;M (land, buildings, plant, machinery)</t>
  </si>
  <si>
    <t>Freight and general farm expenses</t>
  </si>
  <si>
    <t>Administration</t>
  </si>
  <si>
    <t>Insurance</t>
  </si>
  <si>
    <t>Rates</t>
  </si>
  <si>
    <t>Total Expenses</t>
  </si>
  <si>
    <t>Cash Surplus</t>
  </si>
  <si>
    <t>Budget yield (kg MS)</t>
  </si>
  <si>
    <t>Yield/cow (kg MS/Year)</t>
  </si>
  <si>
    <t>Stocking rate (Cows/ha)</t>
  </si>
  <si>
    <t>Herd size</t>
  </si>
  <si>
    <t>Farm size (ha)</t>
  </si>
  <si>
    <t>Lactomin™Mg cost ($1.00/cow/day)</t>
  </si>
  <si>
    <t>No change to Stocking. 270 day lactation</t>
  </si>
  <si>
    <t>Assume 475g extra MS/day</t>
  </si>
  <si>
    <t>Assume Mg costs at $0.10/day</t>
  </si>
  <si>
    <t>This system 2, owner operator farm in Whakatane, milks 260 cows on 83 ha. They have been farming on this farm for 20 years – originally started as 50/50 sharemilkers.</t>
  </si>
  <si>
    <t>This 50% sharemilking business located in the North Waikato milks 460 cows on 170 effective hectares. They are budgeting on 165,000 kgMS under a low input system.</t>
  </si>
  <si>
    <t>Calf rearing</t>
  </si>
  <si>
    <t>Young and dry stock grazing</t>
  </si>
  <si>
    <t>This farm, on rolling to medium hill country, produces around 2,100kgMS/ha and 540kgMS/cow.</t>
  </si>
  <si>
    <t>Runoff lease</t>
  </si>
  <si>
    <t>Assume 600g extra MS/day</t>
  </si>
  <si>
    <t>No change to Stocking. 300 day lactation</t>
  </si>
  <si>
    <t>Adjusted Yield (kg)</t>
  </si>
  <si>
    <t>This system 2 farm is run by an owner operator. Situated in South Taranaki, 80% of the farm is flat and the remaining is a grazable gully.</t>
  </si>
  <si>
    <t>Retain PKE , purchased hay</t>
  </si>
  <si>
    <t>Replace Proliq ($24,000)</t>
  </si>
  <si>
    <t>This Fonterra supplier is a spray irrigated farm in Canterbury, milking 2,060 cows on 587 hectares. There are three milking platforms and the business also owns its support land - operated as a separate unit.</t>
  </si>
  <si>
    <t>This Fonterra supplier is a spray irrigated farm in Canterbury. The business owns one milking platform and also owns and leases support land, which is operated as a separate unit.</t>
  </si>
  <si>
    <t>Includes figure for irrigation</t>
  </si>
  <si>
    <t>This non-irrigated system 4, Fonterra supply farm in Southland milks 720 cows on 262 hectares. They also utilise an additional 32 hectares for wintering which is reported on as a separate business.</t>
  </si>
  <si>
    <t xml:space="preserve">Note this budget includes dry stock and calf rearing, unlike the others </t>
  </si>
  <si>
    <t>This 226 hectare syndicate owned farm in Southland milks 660 cows and is run by a salaried manager. </t>
  </si>
  <si>
    <t>Non-dairy cash income</t>
  </si>
  <si>
    <t>Farm</t>
  </si>
  <si>
    <t>No</t>
  </si>
  <si>
    <t>Yes</t>
  </si>
  <si>
    <t>BOP</t>
  </si>
  <si>
    <t>Sth Waikato</t>
  </si>
  <si>
    <t>Taranaki</t>
  </si>
  <si>
    <t>Canterbury</t>
  </si>
  <si>
    <t xml:space="preserve">Northland </t>
  </si>
  <si>
    <t>Southland</t>
  </si>
  <si>
    <t>Increase</t>
  </si>
  <si>
    <t>Relative</t>
  </si>
  <si>
    <t>Other expenses</t>
  </si>
  <si>
    <t>Nth Waikato S/M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</si>
  <si>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</si>
  <si>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</si>
  <si>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</si>
  <si>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</si>
  <si>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</si>
  <si>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</si>
  <si>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</si>
  <si>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</si>
  <si>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</si>
  <si>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</si>
  <si>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</si>
  <si>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</si>
  <si>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</si>
  <si>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No information about what is bought</t>
  </si>
  <si>
    <t>$/KgMS</t>
  </si>
  <si>
    <t>Confidence Level(95.0%)</t>
  </si>
  <si>
    <t>System</t>
  </si>
  <si>
    <t>Cost/kg MS</t>
  </si>
  <si>
    <t>Decrease</t>
  </si>
  <si>
    <t>Cash surplus stats</t>
  </si>
  <si>
    <t>Break-even calculation</t>
  </si>
  <si>
    <t>Milk solids price</t>
  </si>
  <si>
    <t>Budget comparison with and without knewe™-Mg</t>
  </si>
  <si>
    <t xml:space="preserve">• Rich Technology Solutions Ltd carried out two large on-farm trials, which showed that knewe™-Mg not only meets dairy cow magnesium needs, it is a very effective rumen prebiotic, leading to mean increase in daily milk solids yield of 475 g relative to no supplementation. 
• Trial results are available from http://www.knewe.nz/assets/files/dairy_trials_report.pdf.
• Baseline budget information on which this investigation is based is derived from http://www.dairynz.co.nz/farm/financial/budgets/budget-case-studies/. 
• The approach was to assume knewe™-Mg is used to augment production, reducing bought-in supplements where possible, and removing $0.10/cow/day to account for the budget cost of Mg supplementation.
</t>
  </si>
  <si>
    <r>
      <t>knewe</t>
    </r>
    <r>
      <rPr>
        <sz val="11"/>
        <color theme="1"/>
        <rFont val="Calibri"/>
        <family val="2"/>
      </rPr>
      <t>™</t>
    </r>
    <r>
      <rPr>
        <sz val="11"/>
        <color theme="1"/>
        <rFont val="Calibri"/>
        <family val="2"/>
        <scheme val="minor"/>
      </rPr>
      <t xml:space="preserve"> used?</t>
    </r>
  </si>
  <si>
    <t>knewe™ used?</t>
  </si>
  <si>
    <t>Cost/cow pre knewe™-Mg</t>
  </si>
  <si>
    <t>Current COP at which knewe™-Mg gives break even</t>
  </si>
  <si>
    <t>Assume knewe™-Mg fed for 300 days</t>
  </si>
  <si>
    <t>Including knewe™-Mg</t>
  </si>
  <si>
    <t>knewe™Mg cost ($1.00/cow/day)</t>
  </si>
  <si>
    <t>Assume knewe™-Mg replaces equivalent value of purchased supplements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</si>
</sst>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0282B"/>
      <name val="Arial"/>
      <family val="2"/>
    </font>
    <font>
      <b/>
      <sz val="12"/>
      <color rgb="FF20282B"/>
      <name val="Arial"/>
      <family val="2"/>
    </font>
    <font>
      <i/>
      <sz val="11"/>
      <color theme="1"/>
      <name val="Calibri"/>
      <family val="2"/>
      <scheme val="minor"/>
    </font>
    <font>
      <sz val="11"/>
      <color rgb="FF20282B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/>
    <xf numFmtId="0" fontId="1" fillId="0" borderId="1" applyNumberFormat="0" applyFill="0" applyAlignment="0" applyProtection="0"/>
    <xf numFmtId="0" fontId="2" fillId="2" borderId="2" applyNumberFormat="0" applyAlignment="0" applyProtection="0"/>
    <xf numFmtId="0" fontId="3" fillId="3" borderId="2" applyNumberFormat="0" applyAlignment="0" applyProtection="0"/>
    <xf numFmtId="0" fontId="4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</cellStyleXfs>
  <cellXfs count="43">
    <xf numFmtId="0" fontId="0" fillId="0" borderId="0" xfId="0"/>
    <xf numFmtId="0" fontId="6" fillId="0" borderId="0" xfId="0" applyFont="1" applyAlignment="1">
      <alignment wrapText="1"/>
    </xf>
    <xf numFmtId="0" fontId="4" fillId="0" borderId="0" xfId="4"/>
    <xf numFmtId="0" fontId="7" fillId="4" borderId="3" xfId="0" applyFont="1" applyFill="1" applyBorder="1" applyAlignment="1">
      <alignment horizontal="left" vertical="top" wrapText="1" indent="1"/>
    </xf>
    <xf numFmtId="0" fontId="5" fillId="0" borderId="0" xfId="0" applyFont="1"/>
    <xf numFmtId="0" fontId="1" fillId="0" borderId="1" xfId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1" fillId="0" borderId="1" xfId="1" applyAlignment="1">
      <alignment horizontal="left"/>
    </xf>
    <xf numFmtId="0" fontId="9" fillId="0" borderId="0" xfId="0" applyFont="1" applyAlignment="1">
      <alignment wrapText="1"/>
    </xf>
    <xf numFmtId="164" fontId="0" fillId="0" borderId="0" xfId="0" applyNumberFormat="1"/>
    <xf numFmtId="164" fontId="2" fillId="2" borderId="2" xfId="2" applyNumberFormat="1"/>
    <xf numFmtId="0" fontId="2" fillId="2" borderId="2" xfId="2" applyAlignment="1">
      <alignment wrapText="1"/>
    </xf>
    <xf numFmtId="164" fontId="0" fillId="0" borderId="0" xfId="0" applyNumberFormat="1" applyAlignment="1">
      <alignment vertical="top"/>
    </xf>
    <xf numFmtId="164" fontId="3" fillId="3" borderId="2" xfId="3" applyNumberFormat="1"/>
    <xf numFmtId="164" fontId="0" fillId="0" borderId="0" xfId="0" applyNumberFormat="1" applyFill="1" applyBorder="1"/>
    <xf numFmtId="164" fontId="2" fillId="0" borderId="2" xfId="2" applyNumberFormat="1" applyFill="1"/>
    <xf numFmtId="1" fontId="2" fillId="2" borderId="2" xfId="2" applyNumberFormat="1" applyAlignment="1">
      <alignment wrapText="1"/>
    </xf>
    <xf numFmtId="2" fontId="2" fillId="2" borderId="2" xfId="2" applyNumberFormat="1" applyAlignment="1">
      <alignment wrapText="1"/>
    </xf>
    <xf numFmtId="0" fontId="0" fillId="0" borderId="5" xfId="0" applyBorder="1"/>
    <xf numFmtId="1" fontId="0" fillId="0" borderId="7" xfId="0" applyNumberFormat="1" applyBorder="1"/>
    <xf numFmtId="3" fontId="2" fillId="2" borderId="2" xfId="2" applyNumberFormat="1" applyAlignment="1">
      <alignment wrapText="1"/>
    </xf>
    <xf numFmtId="165" fontId="0" fillId="0" borderId="0" xfId="0" applyNumberFormat="1"/>
    <xf numFmtId="9" fontId="0" fillId="0" borderId="0" xfId="0" applyNumberFormat="1"/>
    <xf numFmtId="0" fontId="0" fillId="0" borderId="0" xfId="0" applyFill="1" applyBorder="1" applyAlignment="1"/>
    <xf numFmtId="0" fontId="0" fillId="0" borderId="8" xfId="0" applyFill="1" applyBorder="1" applyAlignment="1"/>
    <xf numFmtId="0" fontId="8" fillId="0" borderId="9" xfId="0" applyFont="1" applyFill="1" applyBorder="1" applyAlignment="1">
      <alignment horizontal="centerContinuous"/>
    </xf>
    <xf numFmtId="0" fontId="0" fillId="0" borderId="0" xfId="0" applyAlignment="1">
      <alignment wrapText="1"/>
    </xf>
    <xf numFmtId="165" fontId="3" fillId="3" borderId="2" xfId="3" applyNumberFormat="1"/>
    <xf numFmtId="0" fontId="12" fillId="0" borderId="10" xfId="5"/>
    <xf numFmtId="2" fontId="0" fillId="0" borderId="0" xfId="0" applyNumberFormat="1" applyFill="1" applyBorder="1" applyAlignment="1"/>
    <xf numFmtId="2" fontId="0" fillId="0" borderId="8" xfId="0" applyNumberFormat="1" applyFill="1" applyBorder="1" applyAlignment="1"/>
    <xf numFmtId="0" fontId="1" fillId="0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3" fillId="0" borderId="11" xfId="6" applyAlignment="1">
      <alignment horizontal="center" vertical="top" wrapText="1"/>
    </xf>
    <xf numFmtId="0" fontId="4" fillId="0" borderId="0" xfId="4" applyAlignment="1">
      <alignment horizontal="left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vertical="top" wrapText="1"/>
    </xf>
  </cellXfs>
  <cellStyles count="7">
    <cellStyle name="Calculation" xfId="3" builtinId="22"/>
    <cellStyle name="Explanatory Text" xfId="4" builtinId="53"/>
    <cellStyle name="Heading 1" xfId="5" builtinId="16"/>
    <cellStyle name="Heading 2" xfId="1" builtinId="17"/>
    <cellStyle name="Heading 3" xfId="6" builtinId="18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Relative surplus increase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Summary!$G$10</c:f>
              <c:strCache>
                <c:ptCount val="1"/>
                <c:pt idx="0">
                  <c:v>Relative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Summary!$C$11:$C$19</c:f>
              <c:numCache>
                <c:formatCode>"$"#,##0</c:formatCode>
                <c:ptCount val="9"/>
                <c:pt idx="0">
                  <c:v>1065.9479452054795</c:v>
                </c:pt>
                <c:pt idx="1">
                  <c:v>909.61538461538464</c:v>
                </c:pt>
                <c:pt idx="2">
                  <c:v>1159.4521739130435</c:v>
                </c:pt>
                <c:pt idx="3">
                  <c:v>1718.0596153846154</c:v>
                </c:pt>
                <c:pt idx="4">
                  <c:v>1112.9268292682927</c:v>
                </c:pt>
                <c:pt idx="5">
                  <c:v>1371.5936893203884</c:v>
                </c:pt>
                <c:pt idx="6">
                  <c:v>1638.9417910447762</c:v>
                </c:pt>
                <c:pt idx="7">
                  <c:v>1698.3833333333334</c:v>
                </c:pt>
                <c:pt idx="8">
                  <c:v>1467.2772727272727</c:v>
                </c:pt>
              </c:numCache>
            </c:numRef>
          </c:xVal>
          <c:yVal>
            <c:numRef>
              <c:f>Summary!$G$11:$G$19</c:f>
              <c:numCache>
                <c:formatCode>0%</c:formatCode>
                <c:ptCount val="9"/>
                <c:pt idx="0">
                  <c:v>0.70725163231600174</c:v>
                </c:pt>
                <c:pt idx="1">
                  <c:v>0.30348591549295773</c:v>
                </c:pt>
                <c:pt idx="2">
                  <c:v>0.68748690726573436</c:v>
                </c:pt>
                <c:pt idx="3">
                  <c:v>0.92683206138090679</c:v>
                </c:pt>
                <c:pt idx="4">
                  <c:v>0.5034991821155943</c:v>
                </c:pt>
                <c:pt idx="5">
                  <c:v>0.97374479892819799</c:v>
                </c:pt>
                <c:pt idx="6">
                  <c:v>0.95812783701624837</c:v>
                </c:pt>
                <c:pt idx="7">
                  <c:v>1.2463832560914307</c:v>
                </c:pt>
                <c:pt idx="8">
                  <c:v>0.61714556335150339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5D-4A60-8EBF-DB69216D4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853648"/>
        <c:axId val="449854040"/>
      </c:scatterChart>
      <c:valAx>
        <c:axId val="449853648"/>
        <c:scaling>
          <c:orientation val="minMax"/>
          <c:min val="8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854040"/>
        <c:crosses val="autoZero"/>
        <c:crossBetween val="midCat"/>
      </c:valAx>
      <c:valAx>
        <c:axId val="44985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9853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571500</xdr:colOff>
      <xdr:row>10</xdr:row>
      <xdr:rowOff>23812</xdr:rowOff>
    </xdr:from>
    <xdr:to>
      <xdr:col>18</xdr:col>
      <xdr:colOff>266700</xdr:colOff>
      <xdr:row>24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3" workbookViewId="0">
      <selection activeCell="D41" sqref="D41"/>
    </sheetView>
  </sheetViews>
  <sheetFormatPr defaultRowHeight="15" x14ac:dyDescent="0.25"/>
  <cols>
    <col min="1" max="1" width="16.625" customWidth="1"/>
    <col min="4" max="5" width="11.125" bestFit="1" customWidth="1"/>
    <col min="6" max="6" width="10.375" customWidth="1"/>
    <col min="8" max="8" width="26.625" customWidth="1"/>
    <col min="9" max="9" width="23" customWidth="1"/>
  </cols>
  <sheetData>
    <row r="1" spans="1:10" ht="20.25" thickBot="1" x14ac:dyDescent="0.35">
      <c r="A1" s="31" t="s">
        <v>96</v>
      </c>
      <c r="B1" s="31"/>
      <c r="C1" s="31"/>
      <c r="D1" s="31"/>
      <c r="E1" s="31"/>
      <c r="F1" s="31"/>
    </row>
    <row r="2" spans="1:10" ht="15.75" thickTop="1" x14ac:dyDescent="0.25"/>
    <row r="3" spans="1:10" x14ac:dyDescent="0.25">
      <c r="A3" s="36" t="s">
        <v>97</v>
      </c>
      <c r="B3" s="36"/>
      <c r="C3" s="36"/>
      <c r="D3" s="36"/>
      <c r="E3" s="36"/>
      <c r="F3" s="36"/>
      <c r="G3" s="36"/>
      <c r="H3" s="36"/>
      <c r="I3" s="36"/>
    </row>
    <row r="4" spans="1:10" x14ac:dyDescent="0.25">
      <c r="A4" s="36"/>
      <c r="B4" s="36"/>
      <c r="C4" s="36"/>
      <c r="D4" s="36"/>
      <c r="E4" s="36"/>
      <c r="F4" s="36"/>
      <c r="G4" s="36"/>
      <c r="H4" s="36"/>
      <c r="I4" s="36"/>
    </row>
    <row r="5" spans="1:10" x14ac:dyDescent="0.25">
      <c r="A5" s="36"/>
      <c r="B5" s="36"/>
      <c r="C5" s="36"/>
      <c r="D5" s="36"/>
      <c r="E5" s="36"/>
      <c r="F5" s="36"/>
      <c r="G5" s="36"/>
      <c r="H5" s="36"/>
      <c r="I5" s="36"/>
    </row>
    <row r="6" spans="1:10" ht="31.5" customHeight="1" x14ac:dyDescent="0.25">
      <c r="A6" s="36"/>
      <c r="B6" s="36"/>
      <c r="C6" s="36"/>
      <c r="D6" s="36"/>
      <c r="E6" s="36"/>
      <c r="F6" s="36"/>
      <c r="G6" s="36"/>
      <c r="H6" s="36"/>
      <c r="I6" s="36"/>
    </row>
    <row r="7" spans="1:10" ht="39.75" customHeight="1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10" ht="18" thickBot="1" x14ac:dyDescent="0.35">
      <c r="A8" s="34" t="s">
        <v>32</v>
      </c>
      <c r="B8" s="34"/>
    </row>
    <row r="9" spans="1:10" ht="15.75" thickTop="1" x14ac:dyDescent="0.25">
      <c r="D9" s="35" t="s">
        <v>98</v>
      </c>
      <c r="E9" s="35"/>
    </row>
    <row r="10" spans="1:10" ht="60.75" thickBot="1" x14ac:dyDescent="0.3">
      <c r="A10" t="s">
        <v>61</v>
      </c>
      <c r="B10" t="s">
        <v>90</v>
      </c>
      <c r="C10" s="29" t="s">
        <v>100</v>
      </c>
      <c r="D10" t="s">
        <v>62</v>
      </c>
      <c r="E10" t="s">
        <v>63</v>
      </c>
      <c r="F10" t="s">
        <v>70</v>
      </c>
      <c r="G10" t="s">
        <v>71</v>
      </c>
    </row>
    <row r="11" spans="1:10" x14ac:dyDescent="0.25">
      <c r="A11" t="s">
        <v>68</v>
      </c>
      <c r="B11">
        <v>3</v>
      </c>
      <c r="C11" s="24">
        <f>'NorthLand S3'!D39</f>
        <v>1065.9479452054795</v>
      </c>
      <c r="D11" s="24">
        <f>'NorthLand S3'!B40</f>
        <v>492858</v>
      </c>
      <c r="E11" s="24">
        <f>'NorthLand S3'!G40</f>
        <v>841432.625</v>
      </c>
      <c r="F11" s="24">
        <f>+E11-D11</f>
        <v>348574.625</v>
      </c>
      <c r="G11" s="25">
        <f>+F11/D11</f>
        <v>0.70725163231600174</v>
      </c>
      <c r="I11" s="28" t="s">
        <v>93</v>
      </c>
      <c r="J11" s="28"/>
    </row>
    <row r="12" spans="1:10" x14ac:dyDescent="0.25">
      <c r="A12" t="s">
        <v>64</v>
      </c>
      <c r="B12">
        <v>2</v>
      </c>
      <c r="C12" s="24">
        <f>'BOP S2'!D39</f>
        <v>909.61538461538464</v>
      </c>
      <c r="D12" s="24">
        <f>'BOP S2'!B40</f>
        <v>191700</v>
      </c>
      <c r="E12" s="24">
        <f>'BOP S2'!G40</f>
        <v>249878.25</v>
      </c>
      <c r="F12" s="24">
        <f t="shared" ref="F12:F19" si="0">+E12-D12</f>
        <v>58178.25</v>
      </c>
      <c r="G12" s="25">
        <f t="shared" ref="G12:G19" si="1">+F12/D12</f>
        <v>0.30348591549295773</v>
      </c>
      <c r="I12" s="26"/>
      <c r="J12" s="26"/>
    </row>
    <row r="13" spans="1:10" x14ac:dyDescent="0.25">
      <c r="A13" t="s">
        <v>73</v>
      </c>
      <c r="B13">
        <v>2</v>
      </c>
      <c r="C13" s="24">
        <f>'Nth Wai 50-50'!D39*2</f>
        <v>1159.4521739130435</v>
      </c>
      <c r="D13" s="24">
        <f>'Nth Wai 50-50'!$B$40</f>
        <v>119341</v>
      </c>
      <c r="E13" s="24">
        <f>'Nth Wai 50-50'!$G$40</f>
        <v>201386.375</v>
      </c>
      <c r="F13" s="24">
        <f t="shared" si="0"/>
        <v>82045.375</v>
      </c>
      <c r="G13" s="25">
        <f t="shared" si="1"/>
        <v>0.68748690726573436</v>
      </c>
      <c r="I13" s="26" t="s">
        <v>74</v>
      </c>
      <c r="J13" s="32">
        <v>0.76932857266206389</v>
      </c>
    </row>
    <row r="14" spans="1:10" x14ac:dyDescent="0.25">
      <c r="A14" t="s">
        <v>65</v>
      </c>
      <c r="B14">
        <v>5</v>
      </c>
      <c r="C14" s="24">
        <f>'Sth Wai S5'!D40</f>
        <v>1718.0596153846154</v>
      </c>
      <c r="D14" s="24">
        <f>'Sth Wai S5'!B41</f>
        <v>733518</v>
      </c>
      <c r="E14" s="24">
        <f>'Sth Wai S5'!G41</f>
        <v>1413366</v>
      </c>
      <c r="F14" s="24">
        <f t="shared" si="0"/>
        <v>679848</v>
      </c>
      <c r="G14" s="25">
        <f t="shared" si="1"/>
        <v>0.92683206138090679</v>
      </c>
      <c r="I14" s="26" t="s">
        <v>75</v>
      </c>
      <c r="J14" s="32">
        <v>9.5102692659562407E-2</v>
      </c>
    </row>
    <row r="15" spans="1:10" x14ac:dyDescent="0.25">
      <c r="A15" t="s">
        <v>66</v>
      </c>
      <c r="B15">
        <v>2</v>
      </c>
      <c r="C15" s="24">
        <f>'naki S2'!D40</f>
        <v>1112.9268292682927</v>
      </c>
      <c r="D15" s="24">
        <f>'naki S2'!B41</f>
        <v>137550</v>
      </c>
      <c r="E15" s="24">
        <f>'naki S2'!G41</f>
        <v>206806.3125</v>
      </c>
      <c r="F15" s="24">
        <f t="shared" si="0"/>
        <v>69256.3125</v>
      </c>
      <c r="G15" s="25">
        <f t="shared" si="1"/>
        <v>0.5034991821155943</v>
      </c>
      <c r="I15" s="26" t="s">
        <v>76</v>
      </c>
      <c r="J15" s="32">
        <v>0.70725163231600174</v>
      </c>
    </row>
    <row r="16" spans="1:10" x14ac:dyDescent="0.25">
      <c r="A16" t="s">
        <v>67</v>
      </c>
      <c r="B16">
        <v>3</v>
      </c>
      <c r="C16" s="24">
        <f>'Canty S3'!D41</f>
        <v>1371.5936893203884</v>
      </c>
      <c r="D16" s="24">
        <f>'Canty S3'!B42</f>
        <v>1101696</v>
      </c>
      <c r="E16" s="24">
        <f>'Canty S3'!G42</f>
        <v>2174466.75</v>
      </c>
      <c r="F16" s="24">
        <f t="shared" si="0"/>
        <v>1072770.75</v>
      </c>
      <c r="G16" s="25">
        <f t="shared" si="1"/>
        <v>0.97374479892819799</v>
      </c>
      <c r="I16" s="26" t="s">
        <v>77</v>
      </c>
      <c r="J16" s="32"/>
    </row>
    <row r="17" spans="1:10" x14ac:dyDescent="0.25">
      <c r="A17" t="s">
        <v>67</v>
      </c>
      <c r="B17">
        <v>4</v>
      </c>
      <c r="C17" s="24">
        <f>'Canty S4'!D40</f>
        <v>1638.9417910447762</v>
      </c>
      <c r="D17" s="24">
        <f>'Canty S4'!B41</f>
        <v>728318</v>
      </c>
      <c r="E17" s="24">
        <f>'Canty S4'!G41</f>
        <v>1426139.75</v>
      </c>
      <c r="F17" s="24">
        <f t="shared" si="0"/>
        <v>697821.75</v>
      </c>
      <c r="G17" s="25">
        <f t="shared" si="1"/>
        <v>0.95812783701624837</v>
      </c>
      <c r="I17" s="26" t="s">
        <v>78</v>
      </c>
      <c r="J17" s="32">
        <v>0.28530807797868724</v>
      </c>
    </row>
    <row r="18" spans="1:10" x14ac:dyDescent="0.25">
      <c r="A18" t="s">
        <v>69</v>
      </c>
      <c r="B18">
        <v>4</v>
      </c>
      <c r="C18" s="24">
        <f>'Sthland S4'!D40</f>
        <v>1698.3833333333334</v>
      </c>
      <c r="D18" s="24">
        <f>'Sthland S4'!B41</f>
        <v>181033</v>
      </c>
      <c r="E18" s="24">
        <f>'Sthland S4'!G41</f>
        <v>406669.5</v>
      </c>
      <c r="F18" s="24">
        <f t="shared" si="0"/>
        <v>225636.5</v>
      </c>
      <c r="G18" s="25">
        <f t="shared" si="1"/>
        <v>1.2463832560914307</v>
      </c>
      <c r="I18" s="26" t="s">
        <v>79</v>
      </c>
      <c r="J18" s="32">
        <v>8.1400699359892692E-2</v>
      </c>
    </row>
    <row r="19" spans="1:10" x14ac:dyDescent="0.25">
      <c r="A19" t="s">
        <v>69</v>
      </c>
      <c r="B19">
        <v>3</v>
      </c>
      <c r="C19" s="24">
        <f>'Sthland Synd'!D40</f>
        <v>1467.2772727272727</v>
      </c>
      <c r="D19" s="24">
        <f>'Sthland Synd'!B41</f>
        <v>288754</v>
      </c>
      <c r="E19" s="24">
        <f>'Sthland Synd'!G41</f>
        <v>466957.25</v>
      </c>
      <c r="F19" s="24">
        <f t="shared" si="0"/>
        <v>178203.25</v>
      </c>
      <c r="G19" s="25">
        <f t="shared" si="1"/>
        <v>0.61714556335150339</v>
      </c>
      <c r="I19" s="26" t="s">
        <v>80</v>
      </c>
      <c r="J19" s="32">
        <v>-0.20119452168976171</v>
      </c>
    </row>
    <row r="20" spans="1:10" x14ac:dyDescent="0.25">
      <c r="C20" s="24"/>
      <c r="I20" s="26" t="s">
        <v>81</v>
      </c>
      <c r="J20" s="32">
        <v>2.4624390633802489E-2</v>
      </c>
    </row>
    <row r="21" spans="1:10" x14ac:dyDescent="0.25">
      <c r="I21" s="26" t="s">
        <v>82</v>
      </c>
      <c r="J21" s="32">
        <v>0.94289734059847308</v>
      </c>
    </row>
    <row r="22" spans="1:10" ht="18" thickBot="1" x14ac:dyDescent="0.35">
      <c r="A22" s="5" t="s">
        <v>91</v>
      </c>
      <c r="D22" s="35" t="s">
        <v>99</v>
      </c>
      <c r="E22" s="35"/>
      <c r="I22" s="26" t="s">
        <v>83</v>
      </c>
      <c r="J22" s="32">
        <v>0.30348591549295773</v>
      </c>
    </row>
    <row r="23" spans="1:10" ht="60.75" thickTop="1" x14ac:dyDescent="0.25">
      <c r="A23" t="s">
        <v>61</v>
      </c>
      <c r="B23" t="s">
        <v>90</v>
      </c>
      <c r="C23" s="29" t="s">
        <v>100</v>
      </c>
      <c r="D23" t="s">
        <v>62</v>
      </c>
      <c r="E23" t="s">
        <v>63</v>
      </c>
      <c r="F23" t="s">
        <v>92</v>
      </c>
      <c r="G23" t="s">
        <v>71</v>
      </c>
      <c r="I23" s="26" t="s">
        <v>84</v>
      </c>
      <c r="J23" s="32">
        <v>1.2463832560914307</v>
      </c>
    </row>
    <row r="24" spans="1:10" x14ac:dyDescent="0.25">
      <c r="A24" t="s">
        <v>68</v>
      </c>
      <c r="B24">
        <v>3</v>
      </c>
      <c r="C24" s="24">
        <v>1065.9479452054795</v>
      </c>
      <c r="D24" s="12">
        <f>'NorthLand S3'!C39</f>
        <v>2.5938066666666666</v>
      </c>
      <c r="E24" s="12">
        <f>'NorthLand S3'!H39</f>
        <v>2.0070346588419108</v>
      </c>
      <c r="F24" s="12">
        <f>+E24-D24</f>
        <v>-0.5867720078247558</v>
      </c>
      <c r="G24" s="25">
        <f>+F24/D24</f>
        <v>-0.22622041008893845</v>
      </c>
      <c r="I24" s="26" t="s">
        <v>85</v>
      </c>
      <c r="J24" s="32">
        <v>6.9239571539585754</v>
      </c>
    </row>
    <row r="25" spans="1:10" x14ac:dyDescent="0.25">
      <c r="A25" t="s">
        <v>64</v>
      </c>
      <c r="B25">
        <v>2</v>
      </c>
      <c r="C25" s="24">
        <v>909.61538461538464</v>
      </c>
      <c r="D25" s="12">
        <f>'BOP S2'!C39</f>
        <v>2.3650000000000002</v>
      </c>
      <c r="E25" s="12">
        <f>'BOP S2'!H39</f>
        <v>2.300048745734748</v>
      </c>
      <c r="F25" s="12">
        <f t="shared" ref="F25:F32" si="2">+E25-D25</f>
        <v>-6.4951254265252167E-2</v>
      </c>
      <c r="G25" s="25">
        <f t="shared" ref="G25:G32" si="3">+F25/D25</f>
        <v>-2.7463532458880408E-2</v>
      </c>
      <c r="I25" s="26" t="s">
        <v>86</v>
      </c>
      <c r="J25" s="32">
        <v>9</v>
      </c>
    </row>
    <row r="26" spans="1:10" ht="15.75" thickBot="1" x14ac:dyDescent="0.3">
      <c r="A26" t="s">
        <v>73</v>
      </c>
      <c r="B26">
        <v>2</v>
      </c>
      <c r="C26" s="24">
        <v>1159.4521739130435</v>
      </c>
      <c r="D26" s="12">
        <f>'Nth Wai 50-50'!C39</f>
        <v>1.6162060606060606</v>
      </c>
      <c r="E26" s="12">
        <f>'Nth Wai 50-50'!H39</f>
        <v>1.3312529297528963</v>
      </c>
      <c r="F26" s="12">
        <f t="shared" si="2"/>
        <v>-0.28495313085316432</v>
      </c>
      <c r="G26" s="25">
        <f t="shared" si="3"/>
        <v>-0.1763099011931126</v>
      </c>
      <c r="I26" s="27" t="s">
        <v>89</v>
      </c>
      <c r="J26" s="33">
        <v>0.21930720254200181</v>
      </c>
    </row>
    <row r="27" spans="1:10" ht="15.75" thickBot="1" x14ac:dyDescent="0.3">
      <c r="A27" t="s">
        <v>65</v>
      </c>
      <c r="B27">
        <v>5</v>
      </c>
      <c r="C27" s="24">
        <v>1718.0596153846154</v>
      </c>
      <c r="D27" s="12">
        <f>'Sth Wai S5'!C40</f>
        <v>3.2966457564575644</v>
      </c>
      <c r="E27" s="12">
        <f>'Sth Wai S5'!H40</f>
        <v>2.4709801824118904</v>
      </c>
      <c r="F27" s="12">
        <f t="shared" si="2"/>
        <v>-0.82566557404567398</v>
      </c>
      <c r="G27" s="25">
        <f t="shared" si="3"/>
        <v>-0.25045626222603279</v>
      </c>
    </row>
    <row r="28" spans="1:10" x14ac:dyDescent="0.25">
      <c r="A28" t="s">
        <v>66</v>
      </c>
      <c r="B28">
        <v>2</v>
      </c>
      <c r="C28" s="24">
        <v>1112.9268292682927</v>
      </c>
      <c r="D28" s="12">
        <f>'naki S2'!C40</f>
        <v>2.7823170731707316</v>
      </c>
      <c r="E28" s="12">
        <f>'naki S2'!H40</f>
        <v>2.4019946209873835</v>
      </c>
      <c r="F28" s="12">
        <f t="shared" si="2"/>
        <v>-0.38032245218334815</v>
      </c>
      <c r="G28" s="25">
        <f t="shared" si="3"/>
        <v>-0.13669270689912141</v>
      </c>
      <c r="I28" s="28" t="s">
        <v>91</v>
      </c>
      <c r="J28" s="28"/>
    </row>
    <row r="29" spans="1:10" x14ac:dyDescent="0.25">
      <c r="A29" t="s">
        <v>67</v>
      </c>
      <c r="B29">
        <v>3</v>
      </c>
      <c r="C29" s="24">
        <v>1371.5936893203884</v>
      </c>
      <c r="D29" s="12">
        <f>'Canty S3'!C41</f>
        <v>3.1049263736263737</v>
      </c>
      <c r="E29" s="12">
        <f>'Canty S3'!H41</f>
        <v>2.3589463419619401</v>
      </c>
      <c r="F29" s="12">
        <f t="shared" si="2"/>
        <v>-0.74598003166443361</v>
      </c>
      <c r="G29" s="25">
        <f t="shared" si="3"/>
        <v>-0.24025691494680187</v>
      </c>
      <c r="I29" s="26"/>
      <c r="J29" s="26"/>
    </row>
    <row r="30" spans="1:10" x14ac:dyDescent="0.25">
      <c r="A30" t="s">
        <v>67</v>
      </c>
      <c r="B30">
        <v>4</v>
      </c>
      <c r="C30" s="24">
        <v>1638.9417910447762</v>
      </c>
      <c r="D30" s="12">
        <f>'Canty S4'!C40</f>
        <v>3.3787415384615382</v>
      </c>
      <c r="E30" s="12">
        <f>'Sthland S4'!H40</f>
        <v>3.1288071887866034</v>
      </c>
      <c r="F30" s="12">
        <f t="shared" si="2"/>
        <v>-0.24993434967493489</v>
      </c>
      <c r="G30" s="25">
        <f t="shared" si="3"/>
        <v>-7.3972615788995486E-2</v>
      </c>
      <c r="I30" s="26" t="s">
        <v>74</v>
      </c>
      <c r="J30" s="26">
        <v>-0.15214687841663543</v>
      </c>
    </row>
    <row r="31" spans="1:10" x14ac:dyDescent="0.25">
      <c r="A31" t="s">
        <v>69</v>
      </c>
      <c r="B31">
        <v>4</v>
      </c>
      <c r="C31" s="24">
        <v>1698.3833333333334</v>
      </c>
      <c r="D31" s="12">
        <f>'Sthland S4'!C40</f>
        <v>3.5965764705882353</v>
      </c>
      <c r="E31" s="12">
        <f>'Sthland S4'!H40</f>
        <v>3.1288071887866034</v>
      </c>
      <c r="F31" s="12">
        <f t="shared" si="2"/>
        <v>-0.46776928180163191</v>
      </c>
      <c r="G31" s="25">
        <f t="shared" si="3"/>
        <v>-0.13005959573692208</v>
      </c>
      <c r="I31" s="26" t="s">
        <v>75</v>
      </c>
      <c r="J31" s="26">
        <v>2.5777186047178071E-2</v>
      </c>
    </row>
    <row r="32" spans="1:10" x14ac:dyDescent="0.25">
      <c r="A32" t="s">
        <v>69</v>
      </c>
      <c r="B32">
        <v>3</v>
      </c>
      <c r="C32" s="24">
        <v>1467.2772727272727</v>
      </c>
      <c r="D32" s="12">
        <f>'Sthland Synd'!C40</f>
        <v>3.3393206896551724</v>
      </c>
      <c r="E32" s="12">
        <f>'Sthland Synd'!H40</f>
        <v>2.9790414926130069</v>
      </c>
      <c r="F32" s="12">
        <f t="shared" si="2"/>
        <v>-0.36027919704216549</v>
      </c>
      <c r="G32" s="25">
        <f t="shared" si="3"/>
        <v>-0.10788996641091363</v>
      </c>
      <c r="I32" s="26" t="s">
        <v>76</v>
      </c>
      <c r="J32" s="26">
        <v>-0.13669270689912141</v>
      </c>
    </row>
    <row r="33" spans="1:10" x14ac:dyDescent="0.25">
      <c r="I33" s="26" t="s">
        <v>77</v>
      </c>
      <c r="J33" s="26" t="e">
        <v>#N/A</v>
      </c>
    </row>
    <row r="34" spans="1:10" x14ac:dyDescent="0.25">
      <c r="I34" s="26" t="s">
        <v>78</v>
      </c>
      <c r="J34" s="26">
        <v>7.733155814153421E-2</v>
      </c>
    </row>
    <row r="35" spans="1:10" x14ac:dyDescent="0.25">
      <c r="A35" t="s">
        <v>94</v>
      </c>
      <c r="I35" s="26" t="s">
        <v>79</v>
      </c>
      <c r="J35" s="26">
        <v>5.980169884597486E-3</v>
      </c>
    </row>
    <row r="36" spans="1:10" x14ac:dyDescent="0.25">
      <c r="I36" s="26" t="s">
        <v>80</v>
      </c>
      <c r="J36" s="26">
        <v>-1.071557853899904</v>
      </c>
    </row>
    <row r="37" spans="1:10" x14ac:dyDescent="0.25">
      <c r="A37" t="s">
        <v>95</v>
      </c>
      <c r="B37" s="13">
        <v>5.25</v>
      </c>
      <c r="I37" s="26" t="s">
        <v>81</v>
      </c>
      <c r="J37" s="26">
        <v>0.1607309178178504</v>
      </c>
    </row>
    <row r="38" spans="1:10" x14ac:dyDescent="0.25">
      <c r="A38" s="37" t="s">
        <v>101</v>
      </c>
      <c r="I38" s="26" t="s">
        <v>82</v>
      </c>
      <c r="J38" s="26">
        <v>0.22299272976715237</v>
      </c>
    </row>
    <row r="39" spans="1:10" x14ac:dyDescent="0.25">
      <c r="A39" s="37"/>
      <c r="B39" s="12">
        <f>+B37/(1+J30)</f>
        <v>6.1921102445145593</v>
      </c>
      <c r="I39" s="26" t="s">
        <v>83</v>
      </c>
      <c r="J39" s="26">
        <v>-0.25045626222603279</v>
      </c>
    </row>
    <row r="40" spans="1:10" x14ac:dyDescent="0.25">
      <c r="A40" s="37"/>
      <c r="I40" s="26" t="s">
        <v>84</v>
      </c>
      <c r="J40" s="26">
        <v>-2.7463532458880408E-2</v>
      </c>
    </row>
    <row r="41" spans="1:10" x14ac:dyDescent="0.25">
      <c r="A41" s="37"/>
      <c r="I41" s="26" t="s">
        <v>85</v>
      </c>
      <c r="J41" s="26">
        <v>-1.3693219057497188</v>
      </c>
    </row>
    <row r="42" spans="1:10" x14ac:dyDescent="0.25">
      <c r="I42" s="26" t="s">
        <v>86</v>
      </c>
      <c r="J42" s="26">
        <v>9</v>
      </c>
    </row>
    <row r="43" spans="1:10" ht="15.75" thickBot="1" x14ac:dyDescent="0.3">
      <c r="I43" s="27" t="s">
        <v>89</v>
      </c>
      <c r="J43" s="27">
        <v>5.9442297618719768E-2</v>
      </c>
    </row>
  </sheetData>
  <mergeCells count="5">
    <mergeCell ref="A8:B8"/>
    <mergeCell ref="D9:E9"/>
    <mergeCell ref="A3:I7"/>
    <mergeCell ref="D22:E22"/>
    <mergeCell ref="A38:A4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defaultRowHeight="15" x14ac:dyDescent="0.25"/>
  <cols>
    <col min="1" max="1" width="36.875" customWidth="1"/>
    <col min="2" max="2" width="13.25" customWidth="1"/>
    <col min="3" max="3" width="10.375" customWidth="1"/>
    <col min="4" max="4" width="13.25" customWidth="1"/>
    <col min="5" max="5" width="12.75" customWidth="1"/>
    <col min="6" max="6" width="11.125" bestFit="1" customWidth="1"/>
    <col min="7" max="7" width="12.75" bestFit="1" customWidth="1"/>
  </cols>
  <sheetData>
    <row r="1" spans="1:12" ht="45" x14ac:dyDescent="0.25">
      <c r="A1" s="11" t="s">
        <v>59</v>
      </c>
      <c r="B1" s="1"/>
    </row>
    <row r="2" spans="1:12" x14ac:dyDescent="0.25">
      <c r="A2" s="11"/>
      <c r="B2" s="1"/>
    </row>
    <row r="3" spans="1:12" x14ac:dyDescent="0.25">
      <c r="A3" s="11" t="s">
        <v>36</v>
      </c>
      <c r="B3" s="14">
        <v>660</v>
      </c>
    </row>
    <row r="4" spans="1:12" x14ac:dyDescent="0.25">
      <c r="A4" s="11" t="s">
        <v>37</v>
      </c>
      <c r="B4" s="14">
        <v>218</v>
      </c>
      <c r="F4" s="40" t="s">
        <v>50</v>
      </c>
      <c r="G4" s="21"/>
    </row>
    <row r="5" spans="1:12" x14ac:dyDescent="0.25">
      <c r="A5" s="11" t="s">
        <v>33</v>
      </c>
      <c r="B5" s="14">
        <v>290000</v>
      </c>
      <c r="F5" s="41"/>
      <c r="G5" s="22">
        <f>+B5+(0.475*270*B3)</f>
        <v>374645</v>
      </c>
    </row>
    <row r="6" spans="1:12" x14ac:dyDescent="0.25">
      <c r="A6" s="11" t="s">
        <v>34</v>
      </c>
      <c r="B6" s="19">
        <f>+B5/B3</f>
        <v>439.39393939393938</v>
      </c>
      <c r="F6" s="42" t="s">
        <v>103</v>
      </c>
      <c r="G6" s="2" t="s">
        <v>40</v>
      </c>
    </row>
    <row r="7" spans="1:12" ht="15" customHeight="1" x14ac:dyDescent="0.25">
      <c r="A7" s="11" t="s">
        <v>35</v>
      </c>
      <c r="B7" s="20">
        <f>+B3/B4</f>
        <v>3.0275229357798166</v>
      </c>
      <c r="F7" s="42"/>
      <c r="G7" s="39" t="s">
        <v>39</v>
      </c>
      <c r="H7" s="39"/>
      <c r="I7" s="39"/>
      <c r="J7" s="39"/>
    </row>
    <row r="8" spans="1:12" x14ac:dyDescent="0.25">
      <c r="A8" s="11"/>
      <c r="B8" s="1"/>
      <c r="F8" s="42"/>
      <c r="G8" s="39" t="s">
        <v>102</v>
      </c>
      <c r="H8" s="39"/>
      <c r="I8" s="39"/>
      <c r="J8" s="39"/>
    </row>
    <row r="10" spans="1:12" ht="18" thickBot="1" x14ac:dyDescent="0.35">
      <c r="A10" s="5" t="s">
        <v>1</v>
      </c>
      <c r="B10" s="5" t="s">
        <v>6</v>
      </c>
      <c r="C10" s="5" t="s">
        <v>7</v>
      </c>
      <c r="D10" s="5" t="s">
        <v>8</v>
      </c>
      <c r="E10" s="5" t="s">
        <v>9</v>
      </c>
      <c r="G10" s="5" t="s">
        <v>6</v>
      </c>
      <c r="H10" s="5" t="s">
        <v>7</v>
      </c>
      <c r="I10" s="5" t="s">
        <v>8</v>
      </c>
      <c r="J10" s="5" t="s">
        <v>9</v>
      </c>
    </row>
    <row r="11" spans="1:12" ht="16.5" thickTop="1" x14ac:dyDescent="0.25">
      <c r="A11" s="4" t="s">
        <v>2</v>
      </c>
      <c r="E11" s="3"/>
    </row>
    <row r="12" spans="1:12" x14ac:dyDescent="0.25">
      <c r="A12" s="6" t="s">
        <v>3</v>
      </c>
      <c r="B12" s="16">
        <f>+B5*C12</f>
        <v>1116500</v>
      </c>
      <c r="C12" s="13">
        <v>3.85</v>
      </c>
      <c r="D12" s="12">
        <f>+B12/B3</f>
        <v>1691.6666666666667</v>
      </c>
      <c r="E12" s="15">
        <f>+B12/B4</f>
        <v>5121.559633027523</v>
      </c>
      <c r="G12" s="12">
        <f>+G5*H12</f>
        <v>1442383.25</v>
      </c>
      <c r="H12" s="13">
        <f>+C12</f>
        <v>3.85</v>
      </c>
      <c r="I12" s="12">
        <f>+G12/$B$3</f>
        <v>2185.4291666666668</v>
      </c>
      <c r="J12" s="12">
        <f>+G12/B4</f>
        <v>6616.4369266055046</v>
      </c>
    </row>
    <row r="13" spans="1:12" x14ac:dyDescent="0.25">
      <c r="A13" s="6" t="s">
        <v>4</v>
      </c>
      <c r="B13" s="13">
        <v>103617</v>
      </c>
      <c r="C13" s="12">
        <f>+B13/$B$5</f>
        <v>0.35730000000000001</v>
      </c>
      <c r="D13" s="12">
        <f>+B13/$B$3</f>
        <v>156.99545454545455</v>
      </c>
      <c r="E13" s="12">
        <f>+B13/$B$4</f>
        <v>475.3073394495413</v>
      </c>
      <c r="G13" s="13">
        <f>+B13</f>
        <v>103617</v>
      </c>
      <c r="H13" s="12">
        <f>+G13/$G$5</f>
        <v>0.27657382321931429</v>
      </c>
      <c r="I13" s="12">
        <f>+G13/$B$3</f>
        <v>156.99545454545455</v>
      </c>
      <c r="J13" s="12">
        <f>+G13/$B$4</f>
        <v>475.3073394495413</v>
      </c>
    </row>
    <row r="14" spans="1:12" x14ac:dyDescent="0.25">
      <c r="A14" s="6" t="s">
        <v>60</v>
      </c>
      <c r="B14" s="13">
        <v>37040</v>
      </c>
      <c r="C14" s="12">
        <f>+B14/$B$5</f>
        <v>0.12772413793103449</v>
      </c>
      <c r="D14" s="12">
        <f>+B14/$B$3</f>
        <v>56.121212121212125</v>
      </c>
      <c r="E14" s="12">
        <f>+B14/$B$4</f>
        <v>169.90825688073394</v>
      </c>
      <c r="G14" s="13">
        <f>+B14</f>
        <v>37040</v>
      </c>
      <c r="H14" s="12">
        <f>+G14/$G$5</f>
        <v>9.8866927357898815E-2</v>
      </c>
      <c r="I14" s="12">
        <f>+G14/$B$3</f>
        <v>56.121212121212125</v>
      </c>
      <c r="J14" s="12">
        <f>+G14/$B$4</f>
        <v>169.90825688073394</v>
      </c>
    </row>
    <row r="15" spans="1:12" x14ac:dyDescent="0.25">
      <c r="A15" s="7" t="s">
        <v>10</v>
      </c>
      <c r="B15" s="12">
        <f>SUM(B12:B14)</f>
        <v>1257157</v>
      </c>
      <c r="C15" s="12">
        <f t="shared" ref="C15:E15" si="0">SUM(C12:C14)</f>
        <v>4.3350241379310344</v>
      </c>
      <c r="D15" s="12">
        <f t="shared" si="0"/>
        <v>1904.7833333333333</v>
      </c>
      <c r="E15" s="12">
        <f t="shared" si="0"/>
        <v>5766.7752293577987</v>
      </c>
      <c r="G15" s="12">
        <f>SUM(G12:G14)</f>
        <v>1583040.25</v>
      </c>
      <c r="H15" s="12">
        <f t="shared" ref="H15:J15" si="1">SUM(H12:H14)</f>
        <v>4.2254407505772136</v>
      </c>
      <c r="I15" s="12">
        <f t="shared" si="1"/>
        <v>2398.5458333333336</v>
      </c>
      <c r="J15" s="12">
        <f t="shared" si="1"/>
        <v>7261.6525229357803</v>
      </c>
    </row>
    <row r="16" spans="1:12" x14ac:dyDescent="0.25">
      <c r="L16" s="2"/>
    </row>
    <row r="17" spans="1:12" ht="18" thickBot="1" x14ac:dyDescent="0.35">
      <c r="A17" s="5" t="s">
        <v>11</v>
      </c>
      <c r="B17" s="5" t="s">
        <v>6</v>
      </c>
      <c r="C17" s="5" t="s">
        <v>7</v>
      </c>
      <c r="D17" s="5" t="s">
        <v>8</v>
      </c>
      <c r="E17" s="5" t="s">
        <v>9</v>
      </c>
    </row>
    <row r="18" spans="1:12" ht="15.75" thickTop="1" x14ac:dyDescent="0.25">
      <c r="A18" s="9" t="s">
        <v>12</v>
      </c>
      <c r="B18" s="13">
        <v>199278</v>
      </c>
      <c r="C18" s="12">
        <f>+B18/$B$5</f>
        <v>0.68716551724137931</v>
      </c>
      <c r="D18" s="12">
        <f>+B18/$B$3</f>
        <v>301.93636363636364</v>
      </c>
      <c r="E18" s="12">
        <f>+B18/$B$4</f>
        <v>914.11926605504584</v>
      </c>
      <c r="G18" s="12">
        <f>B18</f>
        <v>199278</v>
      </c>
      <c r="H18" s="12">
        <f t="shared" ref="H18:H41" si="2">+G18/$G$5</f>
        <v>0.53191154292730447</v>
      </c>
      <c r="I18" s="12">
        <f>+G18/$B$3</f>
        <v>301.93636363636364</v>
      </c>
      <c r="J18" s="12">
        <f>+G18/$B$4</f>
        <v>914.11926605504584</v>
      </c>
    </row>
    <row r="19" spans="1:12" x14ac:dyDescent="0.25">
      <c r="A19" s="9" t="s">
        <v>13</v>
      </c>
      <c r="B19" s="13">
        <v>23100</v>
      </c>
      <c r="C19" s="12">
        <f t="shared" ref="C19:C41" si="3">+B19/$B$5</f>
        <v>7.9655172413793107E-2</v>
      </c>
      <c r="D19" s="12">
        <f t="shared" ref="D19:D41" si="4">+B19/$B$3</f>
        <v>35</v>
      </c>
      <c r="E19" s="12">
        <f t="shared" ref="E19:E41" si="5">+B19/$B$4</f>
        <v>105.96330275229357</v>
      </c>
      <c r="G19" s="18">
        <f>B19-(B3*270*0.1)</f>
        <v>5280</v>
      </c>
      <c r="H19" s="12">
        <f t="shared" si="2"/>
        <v>1.4093341696806309E-2</v>
      </c>
      <c r="I19" s="12">
        <f t="shared" ref="I19:I41" si="6">+G19/$B$3</f>
        <v>8</v>
      </c>
      <c r="J19" s="12">
        <f t="shared" ref="J19:J41" si="7">+G19/$B$4</f>
        <v>24.220183486238533</v>
      </c>
      <c r="L19" t="s">
        <v>41</v>
      </c>
    </row>
    <row r="20" spans="1:12" x14ac:dyDescent="0.25">
      <c r="A20" s="9" t="s">
        <v>14</v>
      </c>
      <c r="B20" s="13">
        <v>23555</v>
      </c>
      <c r="C20" s="12">
        <f t="shared" si="3"/>
        <v>8.1224137931034487E-2</v>
      </c>
      <c r="D20" s="12">
        <f t="shared" si="4"/>
        <v>35.689393939393938</v>
      </c>
      <c r="E20" s="12">
        <f t="shared" si="5"/>
        <v>108.05045871559633</v>
      </c>
      <c r="G20" s="12">
        <f t="shared" ref="G20:G23" si="8">B20</f>
        <v>23555</v>
      </c>
      <c r="H20" s="12">
        <f t="shared" si="2"/>
        <v>6.2872852967475884E-2</v>
      </c>
      <c r="I20" s="12">
        <f t="shared" si="6"/>
        <v>35.689393939393938</v>
      </c>
      <c r="J20" s="12">
        <f t="shared" si="7"/>
        <v>108.05045871559633</v>
      </c>
    </row>
    <row r="21" spans="1:12" x14ac:dyDescent="0.25">
      <c r="A21" s="9" t="s">
        <v>15</v>
      </c>
      <c r="B21" s="13">
        <v>5403</v>
      </c>
      <c r="C21" s="12">
        <f t="shared" si="3"/>
        <v>1.8631034482758619E-2</v>
      </c>
      <c r="D21" s="12">
        <f t="shared" si="4"/>
        <v>8.1863636363636356</v>
      </c>
      <c r="E21" s="12">
        <f t="shared" si="5"/>
        <v>24.784403669724771</v>
      </c>
      <c r="G21" s="12">
        <f t="shared" si="8"/>
        <v>5403</v>
      </c>
      <c r="H21" s="12">
        <f t="shared" si="2"/>
        <v>1.4421652497697821E-2</v>
      </c>
      <c r="I21" s="12">
        <f t="shared" si="6"/>
        <v>8.1863636363636356</v>
      </c>
      <c r="J21" s="12">
        <f t="shared" si="7"/>
        <v>24.784403669724771</v>
      </c>
    </row>
    <row r="22" spans="1:12" x14ac:dyDescent="0.25">
      <c r="A22" s="9" t="s">
        <v>16</v>
      </c>
      <c r="B22" s="13">
        <v>17500</v>
      </c>
      <c r="C22" s="12">
        <f t="shared" si="3"/>
        <v>6.0344827586206899E-2</v>
      </c>
      <c r="D22" s="12">
        <f t="shared" si="4"/>
        <v>26.515151515151516</v>
      </c>
      <c r="E22" s="12">
        <f t="shared" si="5"/>
        <v>80.275229357798167</v>
      </c>
      <c r="G22" s="12">
        <f t="shared" si="8"/>
        <v>17500</v>
      </c>
      <c r="H22" s="12">
        <f t="shared" si="2"/>
        <v>4.6710886305702734E-2</v>
      </c>
      <c r="I22" s="12">
        <f t="shared" si="6"/>
        <v>26.515151515151516</v>
      </c>
      <c r="J22" s="12">
        <f t="shared" si="7"/>
        <v>80.275229357798167</v>
      </c>
    </row>
    <row r="23" spans="1:12" x14ac:dyDescent="0.25">
      <c r="A23" s="9" t="s">
        <v>17</v>
      </c>
      <c r="B23" s="13">
        <v>3000</v>
      </c>
      <c r="C23" s="12">
        <f t="shared" si="3"/>
        <v>1.0344827586206896E-2</v>
      </c>
      <c r="D23" s="12">
        <f t="shared" si="4"/>
        <v>4.5454545454545459</v>
      </c>
      <c r="E23" s="12">
        <f t="shared" si="5"/>
        <v>13.761467889908257</v>
      </c>
      <c r="G23" s="12">
        <f t="shared" si="8"/>
        <v>3000</v>
      </c>
      <c r="H23" s="12">
        <f t="shared" si="2"/>
        <v>8.0075805095490404E-3</v>
      </c>
      <c r="I23" s="12">
        <f t="shared" si="6"/>
        <v>4.5454545454545459</v>
      </c>
      <c r="J23" s="12">
        <f t="shared" si="7"/>
        <v>13.761467889908257</v>
      </c>
    </row>
    <row r="24" spans="1:12" x14ac:dyDescent="0.25">
      <c r="A24" s="9" t="s">
        <v>18</v>
      </c>
      <c r="B24" s="13">
        <v>65000</v>
      </c>
      <c r="C24" s="12">
        <f t="shared" si="3"/>
        <v>0.22413793103448276</v>
      </c>
      <c r="D24" s="12">
        <f t="shared" si="4"/>
        <v>98.484848484848484</v>
      </c>
      <c r="E24" s="12">
        <f t="shared" si="5"/>
        <v>298.16513761467888</v>
      </c>
      <c r="G24" s="12">
        <f>+B24/2</f>
        <v>32500</v>
      </c>
      <c r="H24" s="12">
        <f t="shared" si="2"/>
        <v>8.6748788853447931E-2</v>
      </c>
      <c r="I24" s="12">
        <f t="shared" si="6"/>
        <v>49.242424242424242</v>
      </c>
      <c r="J24" s="12">
        <f t="shared" si="7"/>
        <v>149.08256880733944</v>
      </c>
    </row>
    <row r="25" spans="1:12" x14ac:dyDescent="0.25">
      <c r="A25" s="9" t="s">
        <v>104</v>
      </c>
      <c r="B25" s="12"/>
      <c r="C25" s="12"/>
      <c r="D25" s="12"/>
      <c r="E25" s="12"/>
      <c r="G25" s="16">
        <f>+B3*300</f>
        <v>198000</v>
      </c>
      <c r="H25" s="12">
        <f t="shared" si="2"/>
        <v>0.52850031363023664</v>
      </c>
      <c r="I25" s="12">
        <f t="shared" si="6"/>
        <v>300</v>
      </c>
      <c r="J25" s="12">
        <f t="shared" si="7"/>
        <v>908.25688073394497</v>
      </c>
    </row>
    <row r="26" spans="1:12" x14ac:dyDescent="0.25">
      <c r="A26" s="6" t="s">
        <v>19</v>
      </c>
      <c r="B26" s="13">
        <v>146714</v>
      </c>
      <c r="C26" s="12">
        <f t="shared" si="3"/>
        <v>0.50591034482758623</v>
      </c>
      <c r="D26" s="12">
        <f t="shared" si="4"/>
        <v>222.29393939393938</v>
      </c>
      <c r="E26" s="12">
        <f t="shared" si="5"/>
        <v>673</v>
      </c>
      <c r="G26" s="12">
        <f t="shared" ref="G26:G39" si="9">B26</f>
        <v>146714</v>
      </c>
      <c r="H26" s="12">
        <f t="shared" si="2"/>
        <v>0.3916080556259926</v>
      </c>
      <c r="I26" s="12">
        <f t="shared" si="6"/>
        <v>222.29393939393938</v>
      </c>
      <c r="J26" s="12">
        <f t="shared" si="7"/>
        <v>673</v>
      </c>
    </row>
    <row r="27" spans="1:12" x14ac:dyDescent="0.25">
      <c r="A27" s="6" t="s">
        <v>44</v>
      </c>
      <c r="B27" s="13">
        <v>12375</v>
      </c>
      <c r="C27" s="12">
        <f t="shared" si="3"/>
        <v>4.267241379310345E-2</v>
      </c>
      <c r="D27" s="12">
        <f t="shared" si="4"/>
        <v>18.75</v>
      </c>
      <c r="E27" s="12">
        <f t="shared" si="5"/>
        <v>56.76605504587156</v>
      </c>
      <c r="G27" s="12">
        <f t="shared" si="9"/>
        <v>12375</v>
      </c>
      <c r="H27" s="12">
        <f t="shared" si="2"/>
        <v>3.303126960188979E-2</v>
      </c>
      <c r="I27" s="12">
        <f t="shared" si="6"/>
        <v>18.75</v>
      </c>
      <c r="J27" s="12">
        <f t="shared" si="7"/>
        <v>56.76605504587156</v>
      </c>
    </row>
    <row r="28" spans="1:12" x14ac:dyDescent="0.25">
      <c r="A28" s="6" t="s">
        <v>20</v>
      </c>
      <c r="B28" s="13">
        <v>0</v>
      </c>
      <c r="C28" s="12">
        <f t="shared" si="3"/>
        <v>0</v>
      </c>
      <c r="D28" s="12">
        <f t="shared" si="4"/>
        <v>0</v>
      </c>
      <c r="E28" s="12">
        <f t="shared" si="5"/>
        <v>0</v>
      </c>
      <c r="G28" s="12">
        <f t="shared" si="9"/>
        <v>0</v>
      </c>
      <c r="H28" s="12">
        <f t="shared" si="2"/>
        <v>0</v>
      </c>
      <c r="I28" s="12">
        <f t="shared" si="6"/>
        <v>0</v>
      </c>
      <c r="J28" s="12">
        <f t="shared" si="7"/>
        <v>0</v>
      </c>
    </row>
    <row r="29" spans="1:12" x14ac:dyDescent="0.25">
      <c r="A29" s="6" t="s">
        <v>21</v>
      </c>
      <c r="B29" s="13">
        <v>207578</v>
      </c>
      <c r="C29" s="12">
        <f t="shared" si="3"/>
        <v>0.7157862068965517</v>
      </c>
      <c r="D29" s="12">
        <f t="shared" si="4"/>
        <v>314.5121212121212</v>
      </c>
      <c r="E29" s="12">
        <f t="shared" si="5"/>
        <v>952.19266055045875</v>
      </c>
      <c r="G29" s="12">
        <f t="shared" si="9"/>
        <v>207578</v>
      </c>
      <c r="H29" s="12">
        <f t="shared" si="2"/>
        <v>0.55406584900372358</v>
      </c>
      <c r="I29" s="12">
        <f t="shared" si="6"/>
        <v>314.5121212121212</v>
      </c>
      <c r="J29" s="12">
        <f t="shared" si="7"/>
        <v>952.19266055045875</v>
      </c>
    </row>
    <row r="30" spans="1:12" x14ac:dyDescent="0.25">
      <c r="A30" s="8" t="s">
        <v>10</v>
      </c>
      <c r="B30" s="13">
        <f>SUM(B26:B29)</f>
        <v>366667</v>
      </c>
      <c r="C30" s="12">
        <f t="shared" si="3"/>
        <v>1.2643689655172414</v>
      </c>
      <c r="D30" s="12">
        <f t="shared" si="4"/>
        <v>555.55606060606056</v>
      </c>
      <c r="E30" s="12">
        <f t="shared" si="5"/>
        <v>1681.9587155963302</v>
      </c>
      <c r="G30" s="12">
        <f t="shared" si="9"/>
        <v>366667</v>
      </c>
      <c r="H30" s="12">
        <f t="shared" si="2"/>
        <v>0.97870517423160597</v>
      </c>
      <c r="I30" s="12">
        <f t="shared" si="6"/>
        <v>555.55606060606056</v>
      </c>
      <c r="J30" s="12">
        <f t="shared" si="7"/>
        <v>1681.9587155963302</v>
      </c>
    </row>
    <row r="31" spans="1:12" x14ac:dyDescent="0.25">
      <c r="A31" s="8" t="s">
        <v>22</v>
      </c>
      <c r="B31" s="13">
        <v>126921</v>
      </c>
      <c r="C31" s="12">
        <f t="shared" si="3"/>
        <v>0.43765862068965516</v>
      </c>
      <c r="D31" s="12">
        <f t="shared" si="4"/>
        <v>192.30454545454546</v>
      </c>
      <c r="E31" s="12">
        <f t="shared" si="5"/>
        <v>582.20642201834858</v>
      </c>
      <c r="G31" s="12">
        <f t="shared" si="9"/>
        <v>126921</v>
      </c>
      <c r="H31" s="12">
        <f t="shared" si="2"/>
        <v>0.33877670861749121</v>
      </c>
      <c r="I31" s="12">
        <f t="shared" si="6"/>
        <v>192.30454545454546</v>
      </c>
      <c r="J31" s="12">
        <f t="shared" si="7"/>
        <v>582.20642201834858</v>
      </c>
    </row>
    <row r="32" spans="1:12" x14ac:dyDescent="0.25">
      <c r="A32" s="8" t="s">
        <v>23</v>
      </c>
      <c r="B32" s="13">
        <v>22800</v>
      </c>
      <c r="C32" s="12">
        <f t="shared" si="3"/>
        <v>7.862068965517241E-2</v>
      </c>
      <c r="D32" s="12">
        <f t="shared" si="4"/>
        <v>34.545454545454547</v>
      </c>
      <c r="E32" s="12">
        <f t="shared" si="5"/>
        <v>104.58715596330275</v>
      </c>
      <c r="G32" s="12">
        <f t="shared" si="9"/>
        <v>22800</v>
      </c>
      <c r="H32" s="12">
        <f t="shared" si="2"/>
        <v>6.0857611872572701E-2</v>
      </c>
      <c r="I32" s="12">
        <f t="shared" si="6"/>
        <v>34.545454545454547</v>
      </c>
      <c r="J32" s="12">
        <f t="shared" si="7"/>
        <v>104.58715596330275</v>
      </c>
    </row>
    <row r="33" spans="1:10" x14ac:dyDescent="0.25">
      <c r="A33" s="8" t="s">
        <v>24</v>
      </c>
      <c r="B33" s="13">
        <v>500</v>
      </c>
      <c r="C33" s="12">
        <f t="shared" si="3"/>
        <v>1.7241379310344827E-3</v>
      </c>
      <c r="D33" s="12">
        <f t="shared" si="4"/>
        <v>0.75757575757575757</v>
      </c>
      <c r="E33" s="12">
        <f t="shared" si="5"/>
        <v>2.2935779816513762</v>
      </c>
      <c r="G33" s="12">
        <f t="shared" si="9"/>
        <v>500</v>
      </c>
      <c r="H33" s="12">
        <f t="shared" si="2"/>
        <v>1.3345967515915067E-3</v>
      </c>
      <c r="I33" s="12">
        <f t="shared" si="6"/>
        <v>0.75757575757575757</v>
      </c>
      <c r="J33" s="12">
        <f t="shared" si="7"/>
        <v>2.2935779816513762</v>
      </c>
    </row>
    <row r="34" spans="1:10" x14ac:dyDescent="0.25">
      <c r="A34" s="8" t="s">
        <v>25</v>
      </c>
      <c r="B34" s="13">
        <v>13485</v>
      </c>
      <c r="C34" s="12">
        <f t="shared" si="3"/>
        <v>4.65E-2</v>
      </c>
      <c r="D34" s="12">
        <f t="shared" si="4"/>
        <v>20.431818181818183</v>
      </c>
      <c r="E34" s="12">
        <f t="shared" si="5"/>
        <v>61.857798165137616</v>
      </c>
      <c r="G34" s="12">
        <f t="shared" si="9"/>
        <v>13485</v>
      </c>
      <c r="H34" s="12">
        <f t="shared" si="2"/>
        <v>3.5994074390422931E-2</v>
      </c>
      <c r="I34" s="12">
        <f t="shared" si="6"/>
        <v>20.431818181818183</v>
      </c>
      <c r="J34" s="12">
        <f t="shared" si="7"/>
        <v>61.857798165137616</v>
      </c>
    </row>
    <row r="35" spans="1:10" x14ac:dyDescent="0.25">
      <c r="A35" s="8" t="s">
        <v>26</v>
      </c>
      <c r="B35" s="13">
        <v>20400</v>
      </c>
      <c r="C35" s="12">
        <f t="shared" si="3"/>
        <v>7.0344827586206901E-2</v>
      </c>
      <c r="D35" s="12">
        <f t="shared" si="4"/>
        <v>30.90909090909091</v>
      </c>
      <c r="E35" s="12">
        <f t="shared" si="5"/>
        <v>93.577981651376149</v>
      </c>
      <c r="G35" s="12">
        <f t="shared" si="9"/>
        <v>20400</v>
      </c>
      <c r="H35" s="12">
        <f t="shared" si="2"/>
        <v>5.445154746493347E-2</v>
      </c>
      <c r="I35" s="12">
        <f t="shared" si="6"/>
        <v>30.90909090909091</v>
      </c>
      <c r="J35" s="12">
        <f t="shared" si="7"/>
        <v>93.577981651376149</v>
      </c>
    </row>
    <row r="36" spans="1:10" x14ac:dyDescent="0.25">
      <c r="A36" s="8" t="s">
        <v>27</v>
      </c>
      <c r="B36" s="13">
        <v>2200</v>
      </c>
      <c r="C36" s="12">
        <f t="shared" si="3"/>
        <v>7.5862068965517242E-3</v>
      </c>
      <c r="D36" s="12">
        <f t="shared" si="4"/>
        <v>3.3333333333333335</v>
      </c>
      <c r="E36" s="12">
        <f t="shared" si="5"/>
        <v>10.091743119266056</v>
      </c>
      <c r="G36" s="12">
        <f t="shared" si="9"/>
        <v>2200</v>
      </c>
      <c r="H36" s="12">
        <f t="shared" si="2"/>
        <v>5.8722257070026292E-3</v>
      </c>
      <c r="I36" s="12">
        <f t="shared" si="6"/>
        <v>3.3333333333333335</v>
      </c>
      <c r="J36" s="12">
        <f t="shared" si="7"/>
        <v>10.091743119266056</v>
      </c>
    </row>
    <row r="37" spans="1:10" x14ac:dyDescent="0.25">
      <c r="A37" s="8" t="s">
        <v>28</v>
      </c>
      <c r="B37" s="13">
        <v>59194</v>
      </c>
      <c r="C37" s="12">
        <f t="shared" si="3"/>
        <v>0.20411724137931034</v>
      </c>
      <c r="D37" s="12">
        <f t="shared" si="4"/>
        <v>89.687878787878788</v>
      </c>
      <c r="E37" s="12">
        <f t="shared" si="5"/>
        <v>271.53211009174311</v>
      </c>
      <c r="G37" s="12">
        <f t="shared" si="9"/>
        <v>59194</v>
      </c>
      <c r="H37" s="12">
        <f t="shared" si="2"/>
        <v>0.1580002402274153</v>
      </c>
      <c r="I37" s="12">
        <f t="shared" si="6"/>
        <v>89.687878787878788</v>
      </c>
      <c r="J37" s="12">
        <f t="shared" si="7"/>
        <v>271.53211009174311</v>
      </c>
    </row>
    <row r="38" spans="1:10" x14ac:dyDescent="0.25">
      <c r="A38" s="8" t="s">
        <v>29</v>
      </c>
      <c r="B38" s="13">
        <v>7400</v>
      </c>
      <c r="C38" s="12">
        <f t="shared" si="3"/>
        <v>2.5517241379310347E-2</v>
      </c>
      <c r="D38" s="12">
        <f t="shared" si="4"/>
        <v>11.212121212121213</v>
      </c>
      <c r="E38" s="12">
        <f t="shared" si="5"/>
        <v>33.944954128440365</v>
      </c>
      <c r="G38" s="12">
        <f t="shared" si="9"/>
        <v>7400</v>
      </c>
      <c r="H38" s="12">
        <f t="shared" si="2"/>
        <v>1.9752031923554299E-2</v>
      </c>
      <c r="I38" s="12">
        <f t="shared" si="6"/>
        <v>11.212121212121213</v>
      </c>
      <c r="J38" s="12">
        <f t="shared" si="7"/>
        <v>33.944954128440365</v>
      </c>
    </row>
    <row r="39" spans="1:10" x14ac:dyDescent="0.25">
      <c r="A39" s="8" t="s">
        <v>30</v>
      </c>
      <c r="B39" s="13">
        <v>12000</v>
      </c>
      <c r="C39" s="12">
        <f t="shared" si="3"/>
        <v>4.1379310344827586E-2</v>
      </c>
      <c r="D39" s="12">
        <f t="shared" si="4"/>
        <v>18.181818181818183</v>
      </c>
      <c r="E39" s="12">
        <f t="shared" si="5"/>
        <v>55.045871559633028</v>
      </c>
      <c r="G39" s="12">
        <f t="shared" si="9"/>
        <v>12000</v>
      </c>
      <c r="H39" s="12">
        <f t="shared" si="2"/>
        <v>3.2030322038196161E-2</v>
      </c>
      <c r="I39" s="12">
        <f t="shared" si="6"/>
        <v>18.181818181818183</v>
      </c>
      <c r="J39" s="12">
        <f t="shared" si="7"/>
        <v>55.045871559633028</v>
      </c>
    </row>
    <row r="40" spans="1:10" ht="18" thickBot="1" x14ac:dyDescent="0.35">
      <c r="A40" s="10" t="s">
        <v>31</v>
      </c>
      <c r="B40" s="12">
        <f>SUM(B18:B39)-SUM(B26:B29)</f>
        <v>968403</v>
      </c>
      <c r="C40" s="12">
        <f t="shared" si="3"/>
        <v>3.3393206896551724</v>
      </c>
      <c r="D40" s="12">
        <f t="shared" si="4"/>
        <v>1467.2772727272727</v>
      </c>
      <c r="E40" s="12">
        <f t="shared" si="5"/>
        <v>4442.2155963302748</v>
      </c>
      <c r="G40" s="12">
        <f>SUM(G18:G39)-SUM(G26:G29)</f>
        <v>1116083</v>
      </c>
      <c r="H40" s="12">
        <f t="shared" si="2"/>
        <v>2.9790414926130069</v>
      </c>
      <c r="I40" s="12">
        <f t="shared" si="6"/>
        <v>1691.0348484848485</v>
      </c>
      <c r="J40" s="12">
        <f t="shared" si="7"/>
        <v>5119.6467889908254</v>
      </c>
    </row>
    <row r="41" spans="1:10" ht="18.75" thickTop="1" thickBot="1" x14ac:dyDescent="0.35">
      <c r="A41" s="10" t="s">
        <v>32</v>
      </c>
      <c r="B41" s="12">
        <f>+B15-B40</f>
        <v>288754</v>
      </c>
      <c r="C41" s="12">
        <f t="shared" si="3"/>
        <v>0.9957034482758621</v>
      </c>
      <c r="D41" s="12">
        <f t="shared" si="4"/>
        <v>437.5060606060606</v>
      </c>
      <c r="E41" s="12">
        <f t="shared" si="5"/>
        <v>1324.559633027523</v>
      </c>
      <c r="G41" s="12">
        <f>+G15-G40</f>
        <v>466957.25</v>
      </c>
      <c r="H41" s="12">
        <f t="shared" si="2"/>
        <v>1.246399257964206</v>
      </c>
      <c r="I41" s="12">
        <f t="shared" si="6"/>
        <v>707.5109848484849</v>
      </c>
      <c r="J41" s="12">
        <f t="shared" si="7"/>
        <v>2142.005733944954</v>
      </c>
    </row>
    <row r="42" spans="1:10" ht="15.75" thickTop="1" x14ac:dyDescent="0.25"/>
  </sheetData>
  <mergeCells count="4">
    <mergeCell ref="F4:F5"/>
    <mergeCell ref="F6:F8"/>
    <mergeCell ref="G7:J7"/>
    <mergeCell ref="G8:J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C11" sqref="C11"/>
    </sheetView>
  </sheetViews>
  <sheetFormatPr defaultRowHeight="15" x14ac:dyDescent="0.25"/>
  <cols>
    <col min="1" max="1" width="36.875" customWidth="1"/>
    <col min="2" max="2" width="13.25" customWidth="1"/>
    <col min="3" max="3" width="11.75" customWidth="1"/>
    <col min="4" max="4" width="13.25" customWidth="1"/>
    <col min="5" max="5" width="12.75" customWidth="1"/>
    <col min="6" max="6" width="11.125" bestFit="1" customWidth="1"/>
    <col min="7" max="7" width="12.75" bestFit="1" customWidth="1"/>
  </cols>
  <sheetData>
    <row r="1" spans="1:12" x14ac:dyDescent="0.25">
      <c r="A1" s="11"/>
      <c r="B1" s="1"/>
    </row>
    <row r="2" spans="1:12" x14ac:dyDescent="0.25">
      <c r="A2" s="11" t="s">
        <v>36</v>
      </c>
      <c r="B2" s="14">
        <v>730</v>
      </c>
    </row>
    <row r="3" spans="1:12" x14ac:dyDescent="0.25">
      <c r="A3" s="11" t="s">
        <v>37</v>
      </c>
      <c r="B3" s="14">
        <v>231</v>
      </c>
      <c r="F3" s="40" t="s">
        <v>50</v>
      </c>
      <c r="G3" s="21"/>
    </row>
    <row r="4" spans="1:12" x14ac:dyDescent="0.25">
      <c r="A4" s="11" t="s">
        <v>33</v>
      </c>
      <c r="B4" s="14">
        <v>300000</v>
      </c>
      <c r="F4" s="41"/>
      <c r="G4" s="22">
        <f>+B4+(0.475*270*B2)</f>
        <v>393622.5</v>
      </c>
    </row>
    <row r="5" spans="1:12" x14ac:dyDescent="0.25">
      <c r="A5" s="11" t="s">
        <v>34</v>
      </c>
      <c r="B5" s="19">
        <f>+B4/B2</f>
        <v>410.95890410958901</v>
      </c>
      <c r="F5" s="42" t="s">
        <v>103</v>
      </c>
      <c r="G5" s="2" t="s">
        <v>40</v>
      </c>
    </row>
    <row r="6" spans="1:12" ht="15" customHeight="1" x14ac:dyDescent="0.25">
      <c r="A6" s="11" t="s">
        <v>35</v>
      </c>
      <c r="B6" s="20">
        <f>+B2/B3</f>
        <v>3.16017316017316</v>
      </c>
      <c r="F6" s="42"/>
      <c r="G6" s="39" t="s">
        <v>39</v>
      </c>
      <c r="H6" s="39"/>
      <c r="I6" s="39"/>
      <c r="J6" s="39"/>
    </row>
    <row r="7" spans="1:12" x14ac:dyDescent="0.25">
      <c r="A7" s="11"/>
      <c r="B7" s="1"/>
      <c r="F7" s="42"/>
      <c r="G7" s="39" t="s">
        <v>102</v>
      </c>
      <c r="H7" s="39"/>
      <c r="I7" s="39"/>
      <c r="J7" s="39"/>
    </row>
    <row r="9" spans="1:12" ht="18" thickBot="1" x14ac:dyDescent="0.35">
      <c r="A9" s="5" t="s">
        <v>1</v>
      </c>
      <c r="B9" s="5" t="s">
        <v>6</v>
      </c>
      <c r="C9" s="5" t="s">
        <v>7</v>
      </c>
      <c r="D9" s="5" t="s">
        <v>8</v>
      </c>
      <c r="E9" s="5" t="s">
        <v>9</v>
      </c>
      <c r="G9" s="5" t="s">
        <v>6</v>
      </c>
      <c r="H9" s="5" t="s">
        <v>7</v>
      </c>
      <c r="I9" s="5" t="s">
        <v>8</v>
      </c>
      <c r="J9" s="5" t="s">
        <v>9</v>
      </c>
    </row>
    <row r="10" spans="1:12" ht="16.5" thickTop="1" x14ac:dyDescent="0.25">
      <c r="A10" s="4" t="s">
        <v>2</v>
      </c>
      <c r="E10" s="3"/>
    </row>
    <row r="11" spans="1:12" x14ac:dyDescent="0.25">
      <c r="A11" s="6" t="s">
        <v>3</v>
      </c>
      <c r="B11" s="16">
        <f>+C11*B4</f>
        <v>930000</v>
      </c>
      <c r="C11" s="13">
        <v>3.1</v>
      </c>
      <c r="D11" s="12">
        <f>+B11/B2</f>
        <v>1273.972602739726</v>
      </c>
      <c r="E11" s="15">
        <f>+B11/B3</f>
        <v>4025.9740259740261</v>
      </c>
      <c r="G11" s="12">
        <f>+B11+(0.475*270*C11*B2)</f>
        <v>1220229.75</v>
      </c>
      <c r="H11" s="13">
        <v>3.1</v>
      </c>
      <c r="I11" s="12">
        <f>+G11/$B$2</f>
        <v>1671.547602739726</v>
      </c>
      <c r="J11" s="12">
        <f>+G11/B3</f>
        <v>5282.3798701298701</v>
      </c>
    </row>
    <row r="12" spans="1:12" x14ac:dyDescent="0.25">
      <c r="A12" s="6" t="s">
        <v>4</v>
      </c>
      <c r="B12" s="13">
        <v>94000</v>
      </c>
      <c r="C12" s="12">
        <f>+B12/$B$4</f>
        <v>0.31333333333333335</v>
      </c>
      <c r="D12" s="12">
        <f>+B12/$B$2</f>
        <v>128.76712328767124</v>
      </c>
      <c r="E12" s="12">
        <f>+B12/$B$3</f>
        <v>406.92640692640691</v>
      </c>
      <c r="G12" s="13">
        <f>+B12</f>
        <v>94000</v>
      </c>
      <c r="H12" s="12">
        <f>+G12/$B$4</f>
        <v>0.31333333333333335</v>
      </c>
      <c r="I12" s="12">
        <f>+G12/$B$2</f>
        <v>128.76712328767124</v>
      </c>
      <c r="J12" s="12">
        <f>+G12/$B$3</f>
        <v>406.92640692640691</v>
      </c>
    </row>
    <row r="13" spans="1:12" x14ac:dyDescent="0.25">
      <c r="A13" s="6" t="s">
        <v>5</v>
      </c>
      <c r="B13" s="13">
        <v>22000</v>
      </c>
      <c r="C13" s="12">
        <f>+B13/$B$4</f>
        <v>7.3333333333333334E-2</v>
      </c>
      <c r="D13" s="12">
        <f>+B13/$B$2</f>
        <v>30.136986301369863</v>
      </c>
      <c r="E13" s="12">
        <f>+B13/$B$3</f>
        <v>95.238095238095241</v>
      </c>
      <c r="G13" s="13">
        <f>+B13</f>
        <v>22000</v>
      </c>
      <c r="H13" s="12">
        <f>+G13/$B$4</f>
        <v>7.3333333333333334E-2</v>
      </c>
      <c r="I13" s="12">
        <f>+G13/$B$2</f>
        <v>30.136986301369863</v>
      </c>
      <c r="J13" s="12">
        <f>+G13/$B$3</f>
        <v>95.238095238095241</v>
      </c>
    </row>
    <row r="14" spans="1:12" x14ac:dyDescent="0.25">
      <c r="A14" s="7" t="s">
        <v>10</v>
      </c>
      <c r="B14" s="12">
        <f>SUM(B11:B13)</f>
        <v>1046000</v>
      </c>
      <c r="C14" s="12">
        <f t="shared" ref="C14:E14" si="0">SUM(C11:C13)</f>
        <v>3.4866666666666668</v>
      </c>
      <c r="D14" s="12">
        <f t="shared" si="0"/>
        <v>1432.8767123287671</v>
      </c>
      <c r="E14" s="12">
        <f t="shared" si="0"/>
        <v>4528.1385281385283</v>
      </c>
      <c r="G14" s="12">
        <f>SUM(G11:G13)</f>
        <v>1336229.75</v>
      </c>
      <c r="H14" s="12">
        <f t="shared" ref="H14" si="1">SUM(H11:H13)</f>
        <v>3.4866666666666668</v>
      </c>
      <c r="I14" s="12">
        <f t="shared" ref="I14" si="2">SUM(I11:I13)</f>
        <v>1830.4517123287671</v>
      </c>
      <c r="J14" s="12">
        <f t="shared" ref="J14" si="3">SUM(J11:J13)</f>
        <v>5784.5443722943728</v>
      </c>
    </row>
    <row r="15" spans="1:12" x14ac:dyDescent="0.25">
      <c r="L15" s="2"/>
    </row>
    <row r="16" spans="1:12" ht="18" thickBot="1" x14ac:dyDescent="0.35">
      <c r="A16" s="5" t="s">
        <v>11</v>
      </c>
      <c r="B16" s="5" t="s">
        <v>6</v>
      </c>
      <c r="C16" s="5" t="s">
        <v>7</v>
      </c>
      <c r="D16" s="5" t="s">
        <v>8</v>
      </c>
      <c r="E16" s="5" t="s">
        <v>9</v>
      </c>
    </row>
    <row r="17" spans="1:12" ht="15.75" thickTop="1" x14ac:dyDescent="0.25">
      <c r="A17" s="9" t="s">
        <v>12</v>
      </c>
      <c r="B17" s="13">
        <v>287912</v>
      </c>
      <c r="C17" s="12">
        <f>+B17/$B$4</f>
        <v>0.95970666666666671</v>
      </c>
      <c r="D17" s="12">
        <f>+B17/$B$2</f>
        <v>394.4</v>
      </c>
      <c r="E17" s="12">
        <f>+B17/$B$3</f>
        <v>1246.3722943722944</v>
      </c>
      <c r="G17" s="12">
        <f>B17</f>
        <v>287912</v>
      </c>
      <c r="H17" s="12">
        <f>+G17/$B$4</f>
        <v>0.95970666666666671</v>
      </c>
      <c r="I17" s="12">
        <f>+G17/$B$2</f>
        <v>394.4</v>
      </c>
      <c r="J17" s="12">
        <f>+G17/$B$3</f>
        <v>1246.3722943722944</v>
      </c>
    </row>
    <row r="18" spans="1:12" x14ac:dyDescent="0.25">
      <c r="A18" s="9" t="s">
        <v>13</v>
      </c>
      <c r="B18" s="13">
        <v>37361</v>
      </c>
      <c r="C18" s="12">
        <f t="shared" ref="C18:C40" si="4">+B18/$B$4</f>
        <v>0.12453666666666667</v>
      </c>
      <c r="D18" s="12">
        <f t="shared" ref="D18:D40" si="5">+B18/$B$2</f>
        <v>51.179452054794524</v>
      </c>
      <c r="E18" s="12">
        <f t="shared" ref="E18:E40" si="6">+B18/$B$3</f>
        <v>161.73593073593074</v>
      </c>
      <c r="G18" s="18">
        <f>B18-(B2*270*0.1)</f>
        <v>17651</v>
      </c>
      <c r="H18" s="12">
        <f t="shared" ref="H18:H38" si="7">+G18/$B$4</f>
        <v>5.8836666666666669E-2</v>
      </c>
      <c r="I18" s="12">
        <f t="shared" ref="I18:I23" si="8">+G18/$B$2</f>
        <v>24.17945205479452</v>
      </c>
      <c r="J18" s="12">
        <f t="shared" ref="J18:J23" si="9">+G18/$B$3</f>
        <v>76.411255411255411</v>
      </c>
      <c r="L18" t="s">
        <v>41</v>
      </c>
    </row>
    <row r="19" spans="1:12" x14ac:dyDescent="0.25">
      <c r="A19" s="9" t="s">
        <v>14</v>
      </c>
      <c r="B19" s="13">
        <v>34964</v>
      </c>
      <c r="C19" s="12">
        <f t="shared" si="4"/>
        <v>0.11654666666666667</v>
      </c>
      <c r="D19" s="12">
        <f t="shared" si="5"/>
        <v>47.895890410958906</v>
      </c>
      <c r="E19" s="12">
        <f t="shared" si="6"/>
        <v>151.35930735930737</v>
      </c>
      <c r="G19" s="12">
        <f t="shared" ref="G19:G22" si="10">B19</f>
        <v>34964</v>
      </c>
      <c r="H19" s="12">
        <f t="shared" si="7"/>
        <v>0.11654666666666667</v>
      </c>
      <c r="I19" s="12">
        <f t="shared" si="8"/>
        <v>47.895890410958906</v>
      </c>
      <c r="J19" s="12">
        <f t="shared" si="9"/>
        <v>151.35930735930737</v>
      </c>
    </row>
    <row r="20" spans="1:12" x14ac:dyDescent="0.25">
      <c r="A20" s="9" t="s">
        <v>15</v>
      </c>
      <c r="B20" s="13">
        <v>12139</v>
      </c>
      <c r="C20" s="12">
        <f t="shared" si="4"/>
        <v>4.046333333333333E-2</v>
      </c>
      <c r="D20" s="12">
        <f t="shared" si="5"/>
        <v>16.62876712328767</v>
      </c>
      <c r="E20" s="12">
        <f t="shared" si="6"/>
        <v>52.549783549783548</v>
      </c>
      <c r="G20" s="12">
        <f t="shared" si="10"/>
        <v>12139</v>
      </c>
      <c r="H20" s="12">
        <f t="shared" si="7"/>
        <v>4.046333333333333E-2</v>
      </c>
      <c r="I20" s="12">
        <f t="shared" si="8"/>
        <v>16.62876712328767</v>
      </c>
      <c r="J20" s="12">
        <f t="shared" si="9"/>
        <v>52.549783549783548</v>
      </c>
    </row>
    <row r="21" spans="1:12" x14ac:dyDescent="0.25">
      <c r="A21" s="9" t="s">
        <v>16</v>
      </c>
      <c r="B21" s="13">
        <v>34510</v>
      </c>
      <c r="C21" s="12">
        <f t="shared" si="4"/>
        <v>0.11503333333333333</v>
      </c>
      <c r="D21" s="12">
        <f t="shared" si="5"/>
        <v>47.273972602739725</v>
      </c>
      <c r="E21" s="12">
        <f t="shared" si="6"/>
        <v>149.39393939393941</v>
      </c>
      <c r="G21" s="12">
        <f t="shared" si="10"/>
        <v>34510</v>
      </c>
      <c r="H21" s="12">
        <f t="shared" si="7"/>
        <v>0.11503333333333333</v>
      </c>
      <c r="I21" s="12">
        <f t="shared" si="8"/>
        <v>47.273972602739725</v>
      </c>
      <c r="J21" s="12">
        <f t="shared" si="9"/>
        <v>149.39393939393941</v>
      </c>
    </row>
    <row r="22" spans="1:12" x14ac:dyDescent="0.25">
      <c r="A22" s="9" t="s">
        <v>17</v>
      </c>
      <c r="B22" s="13">
        <v>5000</v>
      </c>
      <c r="C22" s="12">
        <f t="shared" si="4"/>
        <v>1.6666666666666666E-2</v>
      </c>
      <c r="D22" s="12">
        <f t="shared" si="5"/>
        <v>6.8493150684931505</v>
      </c>
      <c r="E22" s="12">
        <f t="shared" si="6"/>
        <v>21.645021645021647</v>
      </c>
      <c r="G22" s="12">
        <f t="shared" si="10"/>
        <v>5000</v>
      </c>
      <c r="H22" s="12">
        <f t="shared" si="7"/>
        <v>1.6666666666666666E-2</v>
      </c>
      <c r="I22" s="12">
        <f t="shared" si="8"/>
        <v>6.8493150684931505</v>
      </c>
      <c r="J22" s="12">
        <f t="shared" si="9"/>
        <v>21.645021645021647</v>
      </c>
    </row>
    <row r="23" spans="1:12" x14ac:dyDescent="0.25">
      <c r="A23" s="9" t="s">
        <v>18</v>
      </c>
      <c r="B23" s="13">
        <v>185228</v>
      </c>
      <c r="C23" s="12">
        <f t="shared" si="4"/>
        <v>0.61742666666666668</v>
      </c>
      <c r="D23" s="12">
        <f t="shared" si="5"/>
        <v>253.73698630136985</v>
      </c>
      <c r="E23" s="12">
        <f t="shared" si="6"/>
        <v>801.85281385281382</v>
      </c>
      <c r="G23" s="12">
        <v>0</v>
      </c>
      <c r="H23" s="12">
        <f t="shared" si="7"/>
        <v>0</v>
      </c>
      <c r="I23" s="12">
        <f t="shared" si="8"/>
        <v>0</v>
      </c>
      <c r="J23" s="12">
        <f t="shared" si="9"/>
        <v>0</v>
      </c>
    </row>
    <row r="24" spans="1:12" x14ac:dyDescent="0.25">
      <c r="A24" s="9" t="s">
        <v>104</v>
      </c>
      <c r="B24" s="12"/>
      <c r="C24" s="12"/>
      <c r="D24" s="12"/>
      <c r="E24" s="12"/>
      <c r="G24" s="16">
        <f>+B2*300</f>
        <v>219000</v>
      </c>
      <c r="H24" s="12">
        <f t="shared" si="7"/>
        <v>0.73</v>
      </c>
      <c r="I24" s="12">
        <f t="shared" ref="I24:I40" si="11">+G24/$B$2</f>
        <v>300</v>
      </c>
      <c r="J24" s="12">
        <f t="shared" ref="J24:J40" si="12">+G24/$B$3</f>
        <v>948.0519480519481</v>
      </c>
    </row>
    <row r="25" spans="1:12" x14ac:dyDescent="0.25">
      <c r="A25" s="6" t="s">
        <v>19</v>
      </c>
      <c r="B25" s="13">
        <v>8889</v>
      </c>
      <c r="C25" s="12">
        <f t="shared" si="4"/>
        <v>2.963E-2</v>
      </c>
      <c r="D25" s="12">
        <f t="shared" si="5"/>
        <v>12.176712328767124</v>
      </c>
      <c r="E25" s="12">
        <f t="shared" si="6"/>
        <v>38.480519480519483</v>
      </c>
      <c r="G25" s="12">
        <f t="shared" ref="G25:G38" si="13">B25</f>
        <v>8889</v>
      </c>
      <c r="H25" s="12">
        <f t="shared" si="7"/>
        <v>2.963E-2</v>
      </c>
      <c r="I25" s="12">
        <f t="shared" si="11"/>
        <v>12.176712328767124</v>
      </c>
      <c r="J25" s="12">
        <f t="shared" si="12"/>
        <v>38.480519480519483</v>
      </c>
    </row>
    <row r="26" spans="1:12" x14ac:dyDescent="0.25">
      <c r="A26" s="6" t="s">
        <v>44</v>
      </c>
      <c r="B26" s="13">
        <v>0</v>
      </c>
      <c r="C26" s="12">
        <f t="shared" si="4"/>
        <v>0</v>
      </c>
      <c r="D26" s="12">
        <f t="shared" si="5"/>
        <v>0</v>
      </c>
      <c r="E26" s="12">
        <f t="shared" si="6"/>
        <v>0</v>
      </c>
      <c r="G26" s="12">
        <f t="shared" ref="G26" si="14">B26</f>
        <v>0</v>
      </c>
      <c r="H26" s="12">
        <f t="shared" si="7"/>
        <v>0</v>
      </c>
      <c r="I26" s="12">
        <f t="shared" ref="I26" si="15">+G26/$B$2</f>
        <v>0</v>
      </c>
      <c r="J26" s="12">
        <f t="shared" ref="J26" si="16">+G26/$B$3</f>
        <v>0</v>
      </c>
    </row>
    <row r="27" spans="1:12" x14ac:dyDescent="0.25">
      <c r="A27" s="6" t="s">
        <v>20</v>
      </c>
      <c r="B27" s="13">
        <v>56004</v>
      </c>
      <c r="C27" s="12">
        <f t="shared" si="4"/>
        <v>0.18668000000000001</v>
      </c>
      <c r="D27" s="12">
        <f t="shared" si="5"/>
        <v>76.717808219178082</v>
      </c>
      <c r="E27" s="12">
        <f t="shared" si="6"/>
        <v>242.44155844155844</v>
      </c>
      <c r="G27" s="12">
        <f t="shared" si="13"/>
        <v>56004</v>
      </c>
      <c r="H27" s="12">
        <f t="shared" si="7"/>
        <v>0.18668000000000001</v>
      </c>
      <c r="I27" s="12">
        <f t="shared" si="11"/>
        <v>76.717808219178082</v>
      </c>
      <c r="J27" s="12">
        <f t="shared" si="12"/>
        <v>242.44155844155844</v>
      </c>
    </row>
    <row r="28" spans="1:12" x14ac:dyDescent="0.25">
      <c r="A28" s="6" t="s">
        <v>21</v>
      </c>
      <c r="B28" s="13">
        <v>1607</v>
      </c>
      <c r="C28" s="12">
        <f t="shared" si="4"/>
        <v>5.3566666666666667E-3</v>
      </c>
      <c r="D28" s="12">
        <f t="shared" si="5"/>
        <v>2.2013698630136984</v>
      </c>
      <c r="E28" s="12">
        <f t="shared" si="6"/>
        <v>6.9567099567099566</v>
      </c>
      <c r="G28" s="12">
        <f t="shared" si="13"/>
        <v>1607</v>
      </c>
      <c r="H28" s="12">
        <f t="shared" si="7"/>
        <v>5.3566666666666667E-3</v>
      </c>
      <c r="I28" s="12">
        <f t="shared" si="11"/>
        <v>2.2013698630136984</v>
      </c>
      <c r="J28" s="12">
        <f t="shared" si="12"/>
        <v>6.9567099567099566</v>
      </c>
    </row>
    <row r="29" spans="1:12" x14ac:dyDescent="0.25">
      <c r="A29" s="8" t="s">
        <v>10</v>
      </c>
      <c r="B29" s="13">
        <f>SUM(B25:B28)</f>
        <v>66500</v>
      </c>
      <c r="C29" s="12">
        <f t="shared" si="4"/>
        <v>0.22166666666666668</v>
      </c>
      <c r="D29" s="12">
        <f t="shared" si="5"/>
        <v>91.095890410958901</v>
      </c>
      <c r="E29" s="12">
        <f t="shared" si="6"/>
        <v>287.87878787878788</v>
      </c>
      <c r="G29" s="12">
        <f t="shared" si="13"/>
        <v>66500</v>
      </c>
      <c r="H29" s="12">
        <f t="shared" si="7"/>
        <v>0.22166666666666668</v>
      </c>
      <c r="I29" s="12">
        <f t="shared" si="11"/>
        <v>91.095890410958901</v>
      </c>
      <c r="J29" s="12">
        <f t="shared" si="12"/>
        <v>287.87878787878788</v>
      </c>
    </row>
    <row r="30" spans="1:12" x14ac:dyDescent="0.25">
      <c r="A30" s="8" t="s">
        <v>22</v>
      </c>
      <c r="B30" s="13">
        <v>50579</v>
      </c>
      <c r="C30" s="12">
        <f t="shared" si="4"/>
        <v>0.16859666666666667</v>
      </c>
      <c r="D30" s="12">
        <f t="shared" si="5"/>
        <v>69.286301369863011</v>
      </c>
      <c r="E30" s="12">
        <f t="shared" si="6"/>
        <v>218.95670995670994</v>
      </c>
      <c r="G30" s="12">
        <f t="shared" si="13"/>
        <v>50579</v>
      </c>
      <c r="H30" s="12">
        <f t="shared" si="7"/>
        <v>0.16859666666666667</v>
      </c>
      <c r="I30" s="12">
        <f t="shared" si="11"/>
        <v>69.286301369863011</v>
      </c>
      <c r="J30" s="12">
        <f t="shared" si="12"/>
        <v>218.95670995670994</v>
      </c>
    </row>
    <row r="31" spans="1:12" x14ac:dyDescent="0.25">
      <c r="A31" s="8" t="s">
        <v>23</v>
      </c>
      <c r="B31" s="13">
        <v>28529</v>
      </c>
      <c r="C31" s="12">
        <f t="shared" si="4"/>
        <v>9.5096666666666663E-2</v>
      </c>
      <c r="D31" s="12">
        <f t="shared" si="5"/>
        <v>39.080821917808223</v>
      </c>
      <c r="E31" s="12">
        <f t="shared" si="6"/>
        <v>123.5021645021645</v>
      </c>
      <c r="G31" s="12">
        <f t="shared" si="13"/>
        <v>28529</v>
      </c>
      <c r="H31" s="12">
        <f t="shared" si="7"/>
        <v>9.5096666666666663E-2</v>
      </c>
      <c r="I31" s="12">
        <f t="shared" si="11"/>
        <v>39.080821917808223</v>
      </c>
      <c r="J31" s="12">
        <f t="shared" si="12"/>
        <v>123.5021645021645</v>
      </c>
    </row>
    <row r="32" spans="1:12" x14ac:dyDescent="0.25">
      <c r="A32" s="8" t="s">
        <v>24</v>
      </c>
      <c r="B32" s="13">
        <v>2650</v>
      </c>
      <c r="C32" s="12">
        <f t="shared" si="4"/>
        <v>8.8333333333333337E-3</v>
      </c>
      <c r="D32" s="12">
        <f t="shared" si="5"/>
        <v>3.6301369863013697</v>
      </c>
      <c r="E32" s="12">
        <f t="shared" si="6"/>
        <v>11.471861471861471</v>
      </c>
      <c r="G32" s="12">
        <f t="shared" si="13"/>
        <v>2650</v>
      </c>
      <c r="H32" s="12">
        <f t="shared" si="7"/>
        <v>8.8333333333333337E-3</v>
      </c>
      <c r="I32" s="12">
        <f t="shared" si="11"/>
        <v>3.6301369863013697</v>
      </c>
      <c r="J32" s="12">
        <f t="shared" si="12"/>
        <v>11.471861471861471</v>
      </c>
    </row>
    <row r="33" spans="1:10" x14ac:dyDescent="0.25">
      <c r="A33" s="8" t="s">
        <v>25</v>
      </c>
      <c r="B33" s="13">
        <v>21722</v>
      </c>
      <c r="C33" s="12">
        <f t="shared" si="4"/>
        <v>7.2406666666666661E-2</v>
      </c>
      <c r="D33" s="12">
        <f t="shared" si="5"/>
        <v>29.756164383561643</v>
      </c>
      <c r="E33" s="12">
        <f t="shared" si="6"/>
        <v>94.03463203463204</v>
      </c>
      <c r="G33" s="12">
        <f t="shared" si="13"/>
        <v>21722</v>
      </c>
      <c r="H33" s="12">
        <f t="shared" si="7"/>
        <v>7.2406666666666661E-2</v>
      </c>
      <c r="I33" s="12">
        <f t="shared" si="11"/>
        <v>29.756164383561643</v>
      </c>
      <c r="J33" s="12">
        <f t="shared" si="12"/>
        <v>94.03463203463204</v>
      </c>
    </row>
    <row r="34" spans="1:10" x14ac:dyDescent="0.25">
      <c r="A34" s="8" t="s">
        <v>26</v>
      </c>
      <c r="B34" s="13">
        <v>31908</v>
      </c>
      <c r="C34" s="12">
        <f t="shared" si="4"/>
        <v>0.10636</v>
      </c>
      <c r="D34" s="12">
        <f t="shared" si="5"/>
        <v>43.709589041095889</v>
      </c>
      <c r="E34" s="12">
        <f t="shared" si="6"/>
        <v>138.12987012987014</v>
      </c>
      <c r="G34" s="12">
        <f t="shared" si="13"/>
        <v>31908</v>
      </c>
      <c r="H34" s="12">
        <f t="shared" si="7"/>
        <v>0.10636</v>
      </c>
      <c r="I34" s="12">
        <f t="shared" si="11"/>
        <v>43.709589041095889</v>
      </c>
      <c r="J34" s="12">
        <f t="shared" si="12"/>
        <v>138.12987012987014</v>
      </c>
    </row>
    <row r="35" spans="1:10" x14ac:dyDescent="0.25">
      <c r="A35" s="8" t="s">
        <v>27</v>
      </c>
      <c r="B35" s="13">
        <v>7170</v>
      </c>
      <c r="C35" s="12">
        <f t="shared" si="4"/>
        <v>2.3900000000000001E-2</v>
      </c>
      <c r="D35" s="12">
        <f t="shared" si="5"/>
        <v>9.8219178082191778</v>
      </c>
      <c r="E35" s="12">
        <f t="shared" si="6"/>
        <v>31.038961038961038</v>
      </c>
      <c r="G35" s="12">
        <f t="shared" si="13"/>
        <v>7170</v>
      </c>
      <c r="H35" s="12">
        <f t="shared" si="7"/>
        <v>2.3900000000000001E-2</v>
      </c>
      <c r="I35" s="12">
        <f t="shared" si="11"/>
        <v>9.8219178082191778</v>
      </c>
      <c r="J35" s="12">
        <f t="shared" si="12"/>
        <v>31.038961038961038</v>
      </c>
    </row>
    <row r="36" spans="1:10" x14ac:dyDescent="0.25">
      <c r="A36" s="8" t="s">
        <v>28</v>
      </c>
      <c r="B36" s="13">
        <v>16779</v>
      </c>
      <c r="C36" s="12">
        <f t="shared" si="4"/>
        <v>5.5930000000000001E-2</v>
      </c>
      <c r="D36" s="12">
        <f t="shared" si="5"/>
        <v>22.984931506849314</v>
      </c>
      <c r="E36" s="12">
        <f t="shared" si="6"/>
        <v>72.63636363636364</v>
      </c>
      <c r="G36" s="12">
        <f t="shared" si="13"/>
        <v>16779</v>
      </c>
      <c r="H36" s="12">
        <f t="shared" si="7"/>
        <v>5.5930000000000001E-2</v>
      </c>
      <c r="I36" s="12">
        <f t="shared" si="11"/>
        <v>22.984931506849314</v>
      </c>
      <c r="J36" s="12">
        <f t="shared" si="12"/>
        <v>72.63636363636364</v>
      </c>
    </row>
    <row r="37" spans="1:10" x14ac:dyDescent="0.25">
      <c r="A37" s="8" t="s">
        <v>29</v>
      </c>
      <c r="B37" s="13">
        <v>4691</v>
      </c>
      <c r="C37" s="12">
        <f t="shared" si="4"/>
        <v>1.5636666666666667E-2</v>
      </c>
      <c r="D37" s="12">
        <f t="shared" si="5"/>
        <v>6.4260273972602739</v>
      </c>
      <c r="E37" s="12">
        <f t="shared" si="6"/>
        <v>20.307359307359306</v>
      </c>
      <c r="G37" s="12">
        <f t="shared" si="13"/>
        <v>4691</v>
      </c>
      <c r="H37" s="12">
        <f t="shared" si="7"/>
        <v>1.5636666666666667E-2</v>
      </c>
      <c r="I37" s="12">
        <f t="shared" si="11"/>
        <v>6.4260273972602739</v>
      </c>
      <c r="J37" s="12">
        <f t="shared" si="12"/>
        <v>20.307359307359306</v>
      </c>
    </row>
    <row r="38" spans="1:10" x14ac:dyDescent="0.25">
      <c r="A38" s="8" t="s">
        <v>30</v>
      </c>
      <c r="B38" s="13">
        <v>17000</v>
      </c>
      <c r="C38" s="12">
        <f t="shared" si="4"/>
        <v>5.6666666666666664E-2</v>
      </c>
      <c r="D38" s="12">
        <f t="shared" si="5"/>
        <v>23.287671232876711</v>
      </c>
      <c r="E38" s="12">
        <f t="shared" si="6"/>
        <v>73.593073593073598</v>
      </c>
      <c r="G38" s="12">
        <f t="shared" si="13"/>
        <v>17000</v>
      </c>
      <c r="H38" s="12">
        <f t="shared" si="7"/>
        <v>5.6666666666666664E-2</v>
      </c>
      <c r="I38" s="12">
        <f t="shared" si="11"/>
        <v>23.287671232876711</v>
      </c>
      <c r="J38" s="12">
        <f t="shared" si="12"/>
        <v>73.593073593073598</v>
      </c>
    </row>
    <row r="39" spans="1:10" ht="18" thickBot="1" x14ac:dyDescent="0.35">
      <c r="A39" s="10" t="s">
        <v>31</v>
      </c>
      <c r="B39" s="12">
        <f>SUM(B17:B38)-2*SUM(B25:B28)</f>
        <v>778142</v>
      </c>
      <c r="C39" s="12">
        <f t="shared" si="4"/>
        <v>2.5938066666666666</v>
      </c>
      <c r="D39" s="12">
        <f t="shared" si="5"/>
        <v>1065.9479452054795</v>
      </c>
      <c r="E39" s="12">
        <f t="shared" si="6"/>
        <v>3368.5800865800866</v>
      </c>
      <c r="G39" s="12">
        <f>SUM(G17:G38)-2*SUM(G25:G28)</f>
        <v>792204</v>
      </c>
      <c r="H39" s="12">
        <f>+G39/G4</f>
        <v>2.0125983651849171</v>
      </c>
      <c r="I39" s="12">
        <f t="shared" si="11"/>
        <v>1085.2109589041097</v>
      </c>
      <c r="J39" s="12">
        <f t="shared" si="12"/>
        <v>3429.4545454545455</v>
      </c>
    </row>
    <row r="40" spans="1:10" ht="18.75" thickTop="1" thickBot="1" x14ac:dyDescent="0.35">
      <c r="A40" s="10" t="s">
        <v>32</v>
      </c>
      <c r="B40" s="12">
        <f>+B14-B39</f>
        <v>267858</v>
      </c>
      <c r="C40" s="12">
        <f t="shared" si="4"/>
        <v>0.89285999999999999</v>
      </c>
      <c r="D40" s="12">
        <f t="shared" si="5"/>
        <v>366.92876712328768</v>
      </c>
      <c r="E40" s="12">
        <f t="shared" si="6"/>
        <v>1159.5584415584415</v>
      </c>
      <c r="G40" s="12">
        <f>+G14-G39</f>
        <v>544025.75</v>
      </c>
      <c r="H40" s="17">
        <f>+G40/G4</f>
        <v>1.3821002356318555</v>
      </c>
      <c r="I40" s="12">
        <f t="shared" si="11"/>
        <v>745.24075342465756</v>
      </c>
      <c r="J40" s="12">
        <f t="shared" si="12"/>
        <v>2355.0898268398269</v>
      </c>
    </row>
    <row r="41" spans="1:10" ht="15.75" thickTop="1" x14ac:dyDescent="0.25"/>
  </sheetData>
  <mergeCells count="4">
    <mergeCell ref="F5:F7"/>
    <mergeCell ref="G7:J7"/>
    <mergeCell ref="G6:J6"/>
    <mergeCell ref="F3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A25" sqref="A25"/>
    </sheetView>
  </sheetViews>
  <sheetFormatPr defaultRowHeight="15" x14ac:dyDescent="0.25"/>
  <cols>
    <col min="1" max="1" width="36.875" customWidth="1"/>
    <col min="2" max="2" width="13.25" customWidth="1"/>
    <col min="3" max="3" width="11.125" bestFit="1" customWidth="1"/>
    <col min="4" max="4" width="10.75" customWidth="1"/>
    <col min="6" max="6" width="10.375" customWidth="1"/>
    <col min="7" max="7" width="12.625" customWidth="1"/>
  </cols>
  <sheetData>
    <row r="1" spans="1:10" ht="90" x14ac:dyDescent="0.25">
      <c r="A1" s="11" t="s">
        <v>0</v>
      </c>
      <c r="B1" s="1"/>
    </row>
    <row r="2" spans="1:10" x14ac:dyDescent="0.25">
      <c r="A2" s="11"/>
      <c r="B2" s="1"/>
    </row>
    <row r="3" spans="1:10" x14ac:dyDescent="0.25">
      <c r="A3" s="11" t="s">
        <v>36</v>
      </c>
      <c r="B3" s="11">
        <v>730</v>
      </c>
    </row>
    <row r="4" spans="1:10" x14ac:dyDescent="0.25">
      <c r="A4" s="11" t="s">
        <v>37</v>
      </c>
      <c r="B4" s="11">
        <v>231</v>
      </c>
      <c r="F4" s="40" t="s">
        <v>50</v>
      </c>
      <c r="G4" s="21"/>
    </row>
    <row r="5" spans="1:10" x14ac:dyDescent="0.25">
      <c r="A5" s="11" t="s">
        <v>33</v>
      </c>
      <c r="B5" s="11">
        <v>300000</v>
      </c>
      <c r="F5" s="41"/>
      <c r="G5" s="22">
        <f>+B5+(0.475*270*B3)</f>
        <v>393622.5</v>
      </c>
    </row>
    <row r="6" spans="1:10" ht="15.75" thickBot="1" x14ac:dyDescent="0.3">
      <c r="A6" s="11" t="s">
        <v>34</v>
      </c>
      <c r="B6" s="11">
        <v>411</v>
      </c>
      <c r="F6" s="38" t="s">
        <v>103</v>
      </c>
      <c r="G6" s="2" t="s">
        <v>40</v>
      </c>
    </row>
    <row r="7" spans="1:10" ht="15.75" thickBot="1" x14ac:dyDescent="0.3">
      <c r="A7" s="11" t="s">
        <v>35</v>
      </c>
      <c r="B7" s="11">
        <v>3.16</v>
      </c>
      <c r="F7" s="38"/>
      <c r="G7" s="39" t="s">
        <v>39</v>
      </c>
      <c r="H7" s="39"/>
      <c r="I7" s="39"/>
      <c r="J7" s="39"/>
    </row>
    <row r="8" spans="1:10" ht="15.75" thickBot="1" x14ac:dyDescent="0.3">
      <c r="A8" s="11"/>
      <c r="B8" s="1"/>
      <c r="F8" s="38"/>
      <c r="G8" s="39" t="s">
        <v>102</v>
      </c>
      <c r="H8" s="39"/>
      <c r="I8" s="39"/>
      <c r="J8" s="39"/>
    </row>
    <row r="10" spans="1:10" ht="18" thickBot="1" x14ac:dyDescent="0.35">
      <c r="A10" s="5" t="s">
        <v>1</v>
      </c>
      <c r="B10" s="5" t="s">
        <v>6</v>
      </c>
      <c r="C10" s="5" t="s">
        <v>7</v>
      </c>
      <c r="D10" s="5" t="s">
        <v>8</v>
      </c>
      <c r="E10" s="5" t="s">
        <v>9</v>
      </c>
      <c r="G10" s="5" t="s">
        <v>6</v>
      </c>
      <c r="H10" s="5" t="s">
        <v>7</v>
      </c>
      <c r="I10" s="5" t="s">
        <v>8</v>
      </c>
      <c r="J10" s="5" t="s">
        <v>9</v>
      </c>
    </row>
    <row r="11" spans="1:10" ht="16.5" thickTop="1" x14ac:dyDescent="0.25">
      <c r="A11" s="4" t="s">
        <v>2</v>
      </c>
      <c r="E11" s="3"/>
    </row>
    <row r="12" spans="1:10" x14ac:dyDescent="0.25">
      <c r="A12" s="6" t="s">
        <v>3</v>
      </c>
      <c r="B12" s="13">
        <f>+B5*C12</f>
        <v>1155000</v>
      </c>
      <c r="C12" s="13">
        <v>3.85</v>
      </c>
      <c r="D12" s="12">
        <f>+B12/B3</f>
        <v>1582.1917808219177</v>
      </c>
      <c r="E12" s="12">
        <f>+B12/B4</f>
        <v>5000</v>
      </c>
      <c r="G12" s="12">
        <f>+B12+(0.475*270*C12*B3)</f>
        <v>1515446.625</v>
      </c>
      <c r="H12" s="13">
        <f>+C12</f>
        <v>3.85</v>
      </c>
      <c r="I12" s="12">
        <f>+G12/$B$3</f>
        <v>2075.954280821918</v>
      </c>
      <c r="J12" s="12">
        <f>+G12/B4</f>
        <v>6560.375</v>
      </c>
    </row>
    <row r="13" spans="1:10" x14ac:dyDescent="0.25">
      <c r="A13" s="6" t="s">
        <v>4</v>
      </c>
      <c r="B13" s="13">
        <v>94000</v>
      </c>
      <c r="C13" s="12">
        <f>+B13/B5</f>
        <v>0.31333333333333335</v>
      </c>
      <c r="D13" s="12">
        <f>+B13/B3</f>
        <v>128.76712328767124</v>
      </c>
      <c r="E13" s="12">
        <f>+B13/B4</f>
        <v>406.92640692640691</v>
      </c>
      <c r="G13" s="13">
        <f>+B13</f>
        <v>94000</v>
      </c>
      <c r="H13" s="12">
        <f>+G13/$G$5</f>
        <v>0.23880748686876385</v>
      </c>
      <c r="I13" s="12">
        <f>+G13/$B$3</f>
        <v>128.76712328767124</v>
      </c>
      <c r="J13" s="12">
        <f>+G13/$B$4</f>
        <v>406.92640692640691</v>
      </c>
    </row>
    <row r="14" spans="1:10" x14ac:dyDescent="0.25">
      <c r="A14" s="6" t="s">
        <v>5</v>
      </c>
      <c r="B14" s="13">
        <v>22000</v>
      </c>
      <c r="C14" s="12">
        <f>+B14/B5</f>
        <v>7.3333333333333334E-2</v>
      </c>
      <c r="D14" s="12">
        <f>+B14/B3</f>
        <v>30.136986301369863</v>
      </c>
      <c r="E14" s="12">
        <f>+B14/B4</f>
        <v>95.238095238095241</v>
      </c>
      <c r="G14" s="13">
        <f>+B14</f>
        <v>22000</v>
      </c>
      <c r="H14" s="12">
        <f>+G14/$G$5</f>
        <v>5.589111394800856E-2</v>
      </c>
      <c r="I14" s="12">
        <f>+G14/$B$3</f>
        <v>30.136986301369863</v>
      </c>
      <c r="J14" s="12">
        <f>+G14/$B$4</f>
        <v>95.238095238095241</v>
      </c>
    </row>
    <row r="15" spans="1:10" x14ac:dyDescent="0.25">
      <c r="A15" s="7" t="s">
        <v>10</v>
      </c>
      <c r="B15" s="12">
        <f>SUM(B12:B14)</f>
        <v>1271000</v>
      </c>
      <c r="C15" s="12">
        <f t="shared" ref="C15:E15" si="0">SUM(C12:C14)</f>
        <v>4.2366666666666664</v>
      </c>
      <c r="D15" s="12">
        <f t="shared" si="0"/>
        <v>1741.0958904109589</v>
      </c>
      <c r="E15" s="12">
        <f t="shared" si="0"/>
        <v>5502.1645021645027</v>
      </c>
      <c r="G15" s="12">
        <f>SUM(G12:G14)</f>
        <v>1631446.625</v>
      </c>
      <c r="H15" s="12">
        <f t="shared" ref="H15:J15" si="1">SUM(H12:H14)</f>
        <v>4.1446986008167723</v>
      </c>
      <c r="I15" s="12">
        <f t="shared" si="1"/>
        <v>2234.8583904109591</v>
      </c>
      <c r="J15" s="12">
        <f t="shared" si="1"/>
        <v>7062.5395021645027</v>
      </c>
    </row>
    <row r="17" spans="1:10" ht="18" thickBot="1" x14ac:dyDescent="0.35">
      <c r="A17" s="5" t="s">
        <v>11</v>
      </c>
      <c r="B17" s="5" t="s">
        <v>6</v>
      </c>
      <c r="C17" s="5" t="s">
        <v>7</v>
      </c>
      <c r="D17" s="5" t="s">
        <v>8</v>
      </c>
      <c r="E17" s="5" t="s">
        <v>9</v>
      </c>
    </row>
    <row r="18" spans="1:10" ht="15.75" thickTop="1" x14ac:dyDescent="0.25">
      <c r="A18" s="9" t="s">
        <v>12</v>
      </c>
      <c r="B18" s="13">
        <v>287912</v>
      </c>
      <c r="C18" s="12">
        <f>+B18/$B$5</f>
        <v>0.95970666666666671</v>
      </c>
      <c r="D18" s="12">
        <f>+B18/$B$3</f>
        <v>394.4</v>
      </c>
      <c r="E18" s="12">
        <f>+B18/$B$4</f>
        <v>1246.3722943722944</v>
      </c>
      <c r="G18" s="13">
        <v>287912</v>
      </c>
      <c r="H18" s="12">
        <f>+G18/$G$5</f>
        <v>0.73144192722722912</v>
      </c>
      <c r="I18" s="12">
        <f>+G18/$B$3</f>
        <v>394.4</v>
      </c>
      <c r="J18" s="12">
        <f>+G18/$B$4</f>
        <v>1246.3722943722944</v>
      </c>
    </row>
    <row r="19" spans="1:10" x14ac:dyDescent="0.25">
      <c r="A19" s="9" t="s">
        <v>13</v>
      </c>
      <c r="B19" s="13">
        <v>37361</v>
      </c>
      <c r="C19" s="12">
        <f t="shared" ref="C19:C40" si="2">+B19/$B$5</f>
        <v>0.12453666666666667</v>
      </c>
      <c r="D19" s="12">
        <f t="shared" ref="D19:D40" si="3">+B19/$B$3</f>
        <v>51.179452054794524</v>
      </c>
      <c r="E19" s="12">
        <f t="shared" ref="E19:E40" si="4">+B19/$B$4</f>
        <v>161.73593073593074</v>
      </c>
      <c r="G19" s="18">
        <f>B19-(B3*300*0.1)</f>
        <v>15461</v>
      </c>
      <c r="H19" s="12">
        <f t="shared" ref="H19:H23" si="5">+G19/$G$5</f>
        <v>3.9278750579552747E-2</v>
      </c>
      <c r="I19" s="12">
        <f t="shared" ref="I19:I40" si="6">+G19/$B$3</f>
        <v>21.17945205479452</v>
      </c>
      <c r="J19" s="12">
        <f t="shared" ref="J19:J40" si="7">+G19/$B$4</f>
        <v>66.930735930735935</v>
      </c>
    </row>
    <row r="20" spans="1:10" x14ac:dyDescent="0.25">
      <c r="A20" s="9" t="s">
        <v>14</v>
      </c>
      <c r="B20" s="13">
        <v>34964</v>
      </c>
      <c r="C20" s="12">
        <f t="shared" si="2"/>
        <v>0.11654666666666667</v>
      </c>
      <c r="D20" s="12">
        <f t="shared" si="3"/>
        <v>47.895890410958906</v>
      </c>
      <c r="E20" s="12">
        <f t="shared" si="4"/>
        <v>151.35930735930737</v>
      </c>
      <c r="G20" s="13">
        <v>34964</v>
      </c>
      <c r="H20" s="12">
        <f t="shared" si="5"/>
        <v>8.8826223094462337E-2</v>
      </c>
      <c r="I20" s="12">
        <f t="shared" si="6"/>
        <v>47.895890410958906</v>
      </c>
      <c r="J20" s="12">
        <f t="shared" si="7"/>
        <v>151.35930735930737</v>
      </c>
    </row>
    <row r="21" spans="1:10" x14ac:dyDescent="0.25">
      <c r="A21" s="9" t="s">
        <v>15</v>
      </c>
      <c r="B21" s="13">
        <v>12139</v>
      </c>
      <c r="C21" s="12">
        <f t="shared" si="2"/>
        <v>4.046333333333333E-2</v>
      </c>
      <c r="D21" s="12">
        <f t="shared" si="3"/>
        <v>16.62876712328767</v>
      </c>
      <c r="E21" s="12">
        <f t="shared" si="4"/>
        <v>52.549783549783548</v>
      </c>
      <c r="G21" s="13">
        <v>12139</v>
      </c>
      <c r="H21" s="12">
        <f t="shared" si="5"/>
        <v>3.0839192373403452E-2</v>
      </c>
      <c r="I21" s="12">
        <f t="shared" si="6"/>
        <v>16.62876712328767</v>
      </c>
      <c r="J21" s="12">
        <f t="shared" si="7"/>
        <v>52.549783549783548</v>
      </c>
    </row>
    <row r="22" spans="1:10" x14ac:dyDescent="0.25">
      <c r="A22" s="9" t="s">
        <v>16</v>
      </c>
      <c r="B22" s="13">
        <v>34510</v>
      </c>
      <c r="C22" s="12">
        <f t="shared" si="2"/>
        <v>0.11503333333333333</v>
      </c>
      <c r="D22" s="12">
        <f t="shared" si="3"/>
        <v>47.273972602739725</v>
      </c>
      <c r="E22" s="12">
        <f t="shared" si="4"/>
        <v>149.39393939393941</v>
      </c>
      <c r="G22" s="13">
        <v>34510</v>
      </c>
      <c r="H22" s="12">
        <f t="shared" si="5"/>
        <v>8.76728337429898E-2</v>
      </c>
      <c r="I22" s="12">
        <f t="shared" si="6"/>
        <v>47.273972602739725</v>
      </c>
      <c r="J22" s="12">
        <f t="shared" si="7"/>
        <v>149.39393939393941</v>
      </c>
    </row>
    <row r="23" spans="1:10" x14ac:dyDescent="0.25">
      <c r="A23" s="9" t="s">
        <v>17</v>
      </c>
      <c r="B23" s="13">
        <v>5000</v>
      </c>
      <c r="C23" s="12">
        <f t="shared" si="2"/>
        <v>1.6666666666666666E-2</v>
      </c>
      <c r="D23" s="12">
        <f t="shared" si="3"/>
        <v>6.8493150684931505</v>
      </c>
      <c r="E23" s="12">
        <f t="shared" si="4"/>
        <v>21.645021645021647</v>
      </c>
      <c r="G23" s="13">
        <v>5000</v>
      </c>
      <c r="H23" s="12">
        <f t="shared" si="5"/>
        <v>1.2702525897274674E-2</v>
      </c>
      <c r="I23" s="12">
        <f t="shared" si="6"/>
        <v>6.8493150684931505</v>
      </c>
      <c r="J23" s="12">
        <f t="shared" si="7"/>
        <v>21.645021645021647</v>
      </c>
    </row>
    <row r="24" spans="1:10" x14ac:dyDescent="0.25">
      <c r="A24" s="9" t="s">
        <v>18</v>
      </c>
      <c r="B24" s="13">
        <v>185228</v>
      </c>
      <c r="C24" s="12">
        <f t="shared" si="2"/>
        <v>0.61742666666666668</v>
      </c>
      <c r="D24" s="12">
        <f t="shared" si="3"/>
        <v>253.73698630136985</v>
      </c>
      <c r="E24" s="12">
        <f t="shared" si="4"/>
        <v>801.85281385281382</v>
      </c>
      <c r="G24" s="12"/>
      <c r="H24" s="12"/>
      <c r="I24" s="12"/>
      <c r="J24" s="12"/>
    </row>
    <row r="25" spans="1:10" x14ac:dyDescent="0.25">
      <c r="A25" s="9" t="s">
        <v>38</v>
      </c>
      <c r="C25" s="12"/>
      <c r="D25" s="12"/>
      <c r="E25" s="12"/>
      <c r="G25" s="30">
        <f>+B3*300</f>
        <v>219000</v>
      </c>
      <c r="H25" s="12">
        <f t="shared" ref="H25:H39" si="8">+G25/$G$5</f>
        <v>0.55637063430063072</v>
      </c>
      <c r="I25" s="12">
        <f t="shared" si="6"/>
        <v>300</v>
      </c>
      <c r="J25" s="12">
        <f t="shared" si="7"/>
        <v>948.0519480519481</v>
      </c>
    </row>
    <row r="26" spans="1:10" x14ac:dyDescent="0.25">
      <c r="A26" s="6" t="s">
        <v>19</v>
      </c>
      <c r="B26" s="13">
        <v>8889</v>
      </c>
      <c r="C26" s="12">
        <f t="shared" si="2"/>
        <v>2.963E-2</v>
      </c>
      <c r="D26" s="12">
        <f t="shared" si="3"/>
        <v>12.176712328767124</v>
      </c>
      <c r="E26" s="12">
        <f t="shared" si="4"/>
        <v>38.480519480519483</v>
      </c>
      <c r="G26" s="13">
        <v>8889</v>
      </c>
      <c r="H26" s="12">
        <f t="shared" si="8"/>
        <v>2.2582550540174915E-2</v>
      </c>
      <c r="I26" s="12">
        <f t="shared" si="6"/>
        <v>12.176712328767124</v>
      </c>
      <c r="J26" s="12">
        <f t="shared" si="7"/>
        <v>38.480519480519483</v>
      </c>
    </row>
    <row r="27" spans="1:10" x14ac:dyDescent="0.25">
      <c r="A27" s="6" t="s">
        <v>20</v>
      </c>
      <c r="B27" s="13">
        <v>56004</v>
      </c>
      <c r="C27" s="12">
        <f t="shared" si="2"/>
        <v>0.18668000000000001</v>
      </c>
      <c r="D27" s="12">
        <f t="shared" si="3"/>
        <v>76.717808219178082</v>
      </c>
      <c r="E27" s="12">
        <f t="shared" si="4"/>
        <v>242.44155844155844</v>
      </c>
      <c r="G27" s="13">
        <v>56004</v>
      </c>
      <c r="H27" s="12">
        <f t="shared" si="8"/>
        <v>0.14227845207019416</v>
      </c>
      <c r="I27" s="12">
        <f t="shared" si="6"/>
        <v>76.717808219178082</v>
      </c>
      <c r="J27" s="12">
        <f t="shared" si="7"/>
        <v>242.44155844155844</v>
      </c>
    </row>
    <row r="28" spans="1:10" x14ac:dyDescent="0.25">
      <c r="A28" s="6" t="s">
        <v>21</v>
      </c>
      <c r="B28" s="13">
        <v>1607</v>
      </c>
      <c r="C28" s="12">
        <f t="shared" si="2"/>
        <v>5.3566666666666667E-3</v>
      </c>
      <c r="D28" s="12">
        <f t="shared" si="3"/>
        <v>2.2013698630136984</v>
      </c>
      <c r="E28" s="12">
        <f t="shared" si="4"/>
        <v>6.9567099567099566</v>
      </c>
      <c r="G28" s="13">
        <v>1607</v>
      </c>
      <c r="H28" s="12">
        <f t="shared" si="8"/>
        <v>4.0825918233840797E-3</v>
      </c>
      <c r="I28" s="12">
        <f t="shared" si="6"/>
        <v>2.2013698630136984</v>
      </c>
      <c r="J28" s="12">
        <f t="shared" si="7"/>
        <v>6.9567099567099566</v>
      </c>
    </row>
    <row r="29" spans="1:10" x14ac:dyDescent="0.25">
      <c r="A29" s="8" t="s">
        <v>10</v>
      </c>
      <c r="B29" s="13">
        <f>SUM(B26:B28)</f>
        <v>66500</v>
      </c>
      <c r="C29" s="12">
        <f t="shared" si="2"/>
        <v>0.22166666666666668</v>
      </c>
      <c r="D29" s="12">
        <f t="shared" si="3"/>
        <v>91.095890410958901</v>
      </c>
      <c r="E29" s="12">
        <f t="shared" si="4"/>
        <v>287.87878787878788</v>
      </c>
      <c r="G29" s="13">
        <f>SUM(G26:G28)</f>
        <v>66500</v>
      </c>
      <c r="H29" s="12">
        <f t="shared" si="8"/>
        <v>0.16894359443375315</v>
      </c>
      <c r="I29" s="12">
        <f t="shared" si="6"/>
        <v>91.095890410958901</v>
      </c>
      <c r="J29" s="12">
        <f t="shared" si="7"/>
        <v>287.87878787878788</v>
      </c>
    </row>
    <row r="30" spans="1:10" x14ac:dyDescent="0.25">
      <c r="A30" s="8" t="s">
        <v>22</v>
      </c>
      <c r="B30" s="13">
        <v>50579</v>
      </c>
      <c r="C30" s="12">
        <f t="shared" si="2"/>
        <v>0.16859666666666667</v>
      </c>
      <c r="D30" s="12">
        <f t="shared" si="3"/>
        <v>69.286301369863011</v>
      </c>
      <c r="E30" s="12">
        <f t="shared" si="4"/>
        <v>218.95670995670994</v>
      </c>
      <c r="G30" s="13">
        <v>50579</v>
      </c>
      <c r="H30" s="12">
        <f t="shared" si="8"/>
        <v>0.12849621147165113</v>
      </c>
      <c r="I30" s="12">
        <f t="shared" si="6"/>
        <v>69.286301369863011</v>
      </c>
      <c r="J30" s="12">
        <f t="shared" si="7"/>
        <v>218.95670995670994</v>
      </c>
    </row>
    <row r="31" spans="1:10" x14ac:dyDescent="0.25">
      <c r="A31" s="8" t="s">
        <v>23</v>
      </c>
      <c r="B31" s="13">
        <v>28529</v>
      </c>
      <c r="C31" s="12">
        <f t="shared" si="2"/>
        <v>9.5096666666666663E-2</v>
      </c>
      <c r="D31" s="12">
        <f t="shared" si="3"/>
        <v>39.080821917808223</v>
      </c>
      <c r="E31" s="12">
        <f t="shared" si="4"/>
        <v>123.5021645021645</v>
      </c>
      <c r="G31" s="13">
        <v>28529</v>
      </c>
      <c r="H31" s="12">
        <f t="shared" si="8"/>
        <v>7.2478072264669832E-2</v>
      </c>
      <c r="I31" s="12">
        <f t="shared" si="6"/>
        <v>39.080821917808223</v>
      </c>
      <c r="J31" s="12">
        <f t="shared" si="7"/>
        <v>123.5021645021645</v>
      </c>
    </row>
    <row r="32" spans="1:10" x14ac:dyDescent="0.25">
      <c r="A32" s="8" t="s">
        <v>24</v>
      </c>
      <c r="B32" s="13">
        <v>2650</v>
      </c>
      <c r="C32" s="12">
        <f t="shared" si="2"/>
        <v>8.8333333333333337E-3</v>
      </c>
      <c r="D32" s="12">
        <f t="shared" si="3"/>
        <v>3.6301369863013697</v>
      </c>
      <c r="E32" s="12">
        <f t="shared" si="4"/>
        <v>11.471861471861471</v>
      </c>
      <c r="G32" s="13">
        <v>2650</v>
      </c>
      <c r="H32" s="12">
        <f t="shared" si="8"/>
        <v>6.7323387255555766E-3</v>
      </c>
      <c r="I32" s="12">
        <f t="shared" si="6"/>
        <v>3.6301369863013697</v>
      </c>
      <c r="J32" s="12">
        <f t="shared" si="7"/>
        <v>11.471861471861471</v>
      </c>
    </row>
    <row r="33" spans="1:10" x14ac:dyDescent="0.25">
      <c r="A33" s="8" t="s">
        <v>25</v>
      </c>
      <c r="B33" s="13">
        <v>21722</v>
      </c>
      <c r="C33" s="12">
        <f t="shared" si="2"/>
        <v>7.2406666666666661E-2</v>
      </c>
      <c r="D33" s="12">
        <f t="shared" si="3"/>
        <v>29.756164383561643</v>
      </c>
      <c r="E33" s="12">
        <f t="shared" si="4"/>
        <v>94.03463203463204</v>
      </c>
      <c r="G33" s="13">
        <v>21722</v>
      </c>
      <c r="H33" s="12">
        <f t="shared" si="8"/>
        <v>5.5184853508120087E-2</v>
      </c>
      <c r="I33" s="12">
        <f t="shared" si="6"/>
        <v>29.756164383561643</v>
      </c>
      <c r="J33" s="12">
        <f t="shared" si="7"/>
        <v>94.03463203463204</v>
      </c>
    </row>
    <row r="34" spans="1:10" x14ac:dyDescent="0.25">
      <c r="A34" s="8" t="s">
        <v>26</v>
      </c>
      <c r="B34" s="13">
        <v>31908</v>
      </c>
      <c r="C34" s="12">
        <f t="shared" si="2"/>
        <v>0.10636</v>
      </c>
      <c r="D34" s="12">
        <f t="shared" si="3"/>
        <v>43.709589041095889</v>
      </c>
      <c r="E34" s="12">
        <f t="shared" si="4"/>
        <v>138.12987012987014</v>
      </c>
      <c r="G34" s="13">
        <v>31908</v>
      </c>
      <c r="H34" s="12">
        <f t="shared" si="8"/>
        <v>8.1062439266048059E-2</v>
      </c>
      <c r="I34" s="12">
        <f t="shared" si="6"/>
        <v>43.709589041095889</v>
      </c>
      <c r="J34" s="12">
        <f t="shared" si="7"/>
        <v>138.12987012987014</v>
      </c>
    </row>
    <row r="35" spans="1:10" x14ac:dyDescent="0.25">
      <c r="A35" s="8" t="s">
        <v>27</v>
      </c>
      <c r="B35" s="13">
        <v>7170</v>
      </c>
      <c r="C35" s="12">
        <f t="shared" si="2"/>
        <v>2.3900000000000001E-2</v>
      </c>
      <c r="D35" s="12">
        <f t="shared" si="3"/>
        <v>9.8219178082191778</v>
      </c>
      <c r="E35" s="12">
        <f t="shared" si="4"/>
        <v>31.038961038961038</v>
      </c>
      <c r="G35" s="13">
        <v>7170</v>
      </c>
      <c r="H35" s="12">
        <f t="shared" si="8"/>
        <v>1.8215422136691882E-2</v>
      </c>
      <c r="I35" s="12">
        <f t="shared" si="6"/>
        <v>9.8219178082191778</v>
      </c>
      <c r="J35" s="12">
        <f t="shared" si="7"/>
        <v>31.038961038961038</v>
      </c>
    </row>
    <row r="36" spans="1:10" x14ac:dyDescent="0.25">
      <c r="A36" s="8" t="s">
        <v>28</v>
      </c>
      <c r="B36" s="13">
        <v>16779</v>
      </c>
      <c r="C36" s="12">
        <f t="shared" si="2"/>
        <v>5.5930000000000001E-2</v>
      </c>
      <c r="D36" s="12">
        <f t="shared" si="3"/>
        <v>22.984931506849314</v>
      </c>
      <c r="E36" s="12">
        <f t="shared" si="4"/>
        <v>72.63636363636364</v>
      </c>
      <c r="G36" s="13">
        <v>16779</v>
      </c>
      <c r="H36" s="12">
        <f t="shared" si="8"/>
        <v>4.2627136406074351E-2</v>
      </c>
      <c r="I36" s="12">
        <f t="shared" si="6"/>
        <v>22.984931506849314</v>
      </c>
      <c r="J36" s="12">
        <f t="shared" si="7"/>
        <v>72.63636363636364</v>
      </c>
    </row>
    <row r="37" spans="1:10" x14ac:dyDescent="0.25">
      <c r="A37" s="8" t="s">
        <v>29</v>
      </c>
      <c r="B37" s="13">
        <v>4691</v>
      </c>
      <c r="C37" s="12">
        <f t="shared" si="2"/>
        <v>1.5636666666666667E-2</v>
      </c>
      <c r="D37" s="12">
        <f t="shared" si="3"/>
        <v>6.4260273972602739</v>
      </c>
      <c r="E37" s="12">
        <f t="shared" si="4"/>
        <v>20.307359307359306</v>
      </c>
      <c r="G37" s="13">
        <v>4691</v>
      </c>
      <c r="H37" s="12">
        <f t="shared" si="8"/>
        <v>1.1917509796823099E-2</v>
      </c>
      <c r="I37" s="12">
        <f t="shared" si="6"/>
        <v>6.4260273972602739</v>
      </c>
      <c r="J37" s="12">
        <f t="shared" si="7"/>
        <v>20.307359307359306</v>
      </c>
    </row>
    <row r="38" spans="1:10" x14ac:dyDescent="0.25">
      <c r="A38" s="8" t="s">
        <v>30</v>
      </c>
      <c r="B38" s="13">
        <v>17000</v>
      </c>
      <c r="C38" s="12">
        <f t="shared" si="2"/>
        <v>5.6666666666666664E-2</v>
      </c>
      <c r="D38" s="12">
        <f t="shared" si="3"/>
        <v>23.287671232876711</v>
      </c>
      <c r="E38" s="12">
        <f t="shared" si="4"/>
        <v>73.593073593073598</v>
      </c>
      <c r="G38" s="13">
        <v>17000</v>
      </c>
      <c r="H38" s="12">
        <f t="shared" si="8"/>
        <v>4.3188588050733889E-2</v>
      </c>
      <c r="I38" s="12">
        <f t="shared" si="6"/>
        <v>23.287671232876711</v>
      </c>
      <c r="J38" s="12">
        <f t="shared" si="7"/>
        <v>73.593073593073598</v>
      </c>
    </row>
    <row r="39" spans="1:10" ht="18" thickBot="1" x14ac:dyDescent="0.35">
      <c r="A39" s="10" t="s">
        <v>31</v>
      </c>
      <c r="B39" s="12">
        <f>SUM(B18:B38)-2*SUM(B26:B28)</f>
        <v>778142</v>
      </c>
      <c r="C39" s="12">
        <f t="shared" si="2"/>
        <v>2.5938066666666666</v>
      </c>
      <c r="D39" s="12">
        <f t="shared" si="3"/>
        <v>1065.9479452054795</v>
      </c>
      <c r="E39" s="12">
        <f t="shared" si="4"/>
        <v>3368.5800865800866</v>
      </c>
      <c r="G39" s="12">
        <f>SUM(G18:G38)-2*SUM(G26:G28)</f>
        <v>790014</v>
      </c>
      <c r="H39" s="12">
        <f t="shared" si="8"/>
        <v>2.0070346588419108</v>
      </c>
      <c r="I39" s="12">
        <f t="shared" si="6"/>
        <v>1082.2109589041097</v>
      </c>
      <c r="J39" s="12">
        <f t="shared" si="7"/>
        <v>3419.9740259740261</v>
      </c>
    </row>
    <row r="40" spans="1:10" ht="18.75" thickTop="1" thickBot="1" x14ac:dyDescent="0.35">
      <c r="A40" s="10" t="s">
        <v>32</v>
      </c>
      <c r="B40" s="12">
        <f>+B15-B39</f>
        <v>492858</v>
      </c>
      <c r="C40" s="12">
        <f t="shared" si="2"/>
        <v>1.64286</v>
      </c>
      <c r="D40" s="12">
        <f t="shared" si="3"/>
        <v>675.14794520547946</v>
      </c>
      <c r="E40" s="12">
        <f t="shared" si="4"/>
        <v>2133.5844155844156</v>
      </c>
      <c r="G40" s="12">
        <f>+G15-G39</f>
        <v>841432.625</v>
      </c>
      <c r="H40" s="17">
        <f>+G40/G5</f>
        <v>2.1376639419748615</v>
      </c>
      <c r="I40" s="12">
        <f t="shared" si="6"/>
        <v>1152.6474315068492</v>
      </c>
      <c r="J40" s="12">
        <f t="shared" si="7"/>
        <v>3642.5654761904761</v>
      </c>
    </row>
    <row r="41" spans="1:10" ht="15.75" thickTop="1" x14ac:dyDescent="0.25"/>
  </sheetData>
  <mergeCells count="4">
    <mergeCell ref="F6:F8"/>
    <mergeCell ref="G7:J7"/>
    <mergeCell ref="G8:J8"/>
    <mergeCell ref="F4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workbookViewId="0"/>
  </sheetViews>
  <sheetFormatPr defaultRowHeight="15" x14ac:dyDescent="0.25"/>
  <cols>
    <col min="1" max="1" width="36.875" customWidth="1"/>
    <col min="2" max="2" width="13.25" customWidth="1"/>
    <col min="3" max="3" width="11.75" customWidth="1"/>
    <col min="4" max="4" width="13.25" customWidth="1"/>
    <col min="5" max="5" width="12.75" customWidth="1"/>
    <col min="6" max="6" width="11.125" bestFit="1" customWidth="1"/>
    <col min="7" max="7" width="12.75" bestFit="1" customWidth="1"/>
  </cols>
  <sheetData>
    <row r="1" spans="1:12" ht="60" x14ac:dyDescent="0.25">
      <c r="A1" s="11" t="s">
        <v>42</v>
      </c>
      <c r="B1" s="1"/>
    </row>
    <row r="2" spans="1:12" x14ac:dyDescent="0.25">
      <c r="A2" s="11"/>
      <c r="B2" s="1"/>
    </row>
    <row r="3" spans="1:12" x14ac:dyDescent="0.25">
      <c r="A3" s="11" t="s">
        <v>36</v>
      </c>
      <c r="B3" s="14">
        <v>260</v>
      </c>
    </row>
    <row r="4" spans="1:12" x14ac:dyDescent="0.25">
      <c r="A4" s="11" t="s">
        <v>37</v>
      </c>
      <c r="B4" s="14">
        <v>83</v>
      </c>
      <c r="F4" s="40" t="s">
        <v>50</v>
      </c>
      <c r="G4" s="21"/>
    </row>
    <row r="5" spans="1:12" x14ac:dyDescent="0.25">
      <c r="A5" s="11" t="s">
        <v>33</v>
      </c>
      <c r="B5" s="23">
        <v>100000</v>
      </c>
      <c r="F5" s="41"/>
      <c r="G5" s="22">
        <f>+B5+(0.475*270*B3)</f>
        <v>133345</v>
      </c>
    </row>
    <row r="6" spans="1:12" x14ac:dyDescent="0.25">
      <c r="A6" s="11" t="s">
        <v>34</v>
      </c>
      <c r="B6" s="19">
        <f>+B5/B3</f>
        <v>384.61538461538464</v>
      </c>
      <c r="F6" s="42" t="s">
        <v>103</v>
      </c>
      <c r="G6" s="2" t="s">
        <v>40</v>
      </c>
    </row>
    <row r="7" spans="1:12" ht="15" customHeight="1" x14ac:dyDescent="0.25">
      <c r="A7" s="11" t="s">
        <v>35</v>
      </c>
      <c r="B7" s="20">
        <f>+B3/B4</f>
        <v>3.1325301204819276</v>
      </c>
      <c r="F7" s="42"/>
      <c r="G7" s="39" t="s">
        <v>39</v>
      </c>
      <c r="H7" s="39"/>
      <c r="I7" s="39"/>
      <c r="J7" s="39"/>
    </row>
    <row r="8" spans="1:12" x14ac:dyDescent="0.25">
      <c r="A8" s="11"/>
      <c r="B8" s="1"/>
      <c r="F8" s="42"/>
      <c r="G8" s="39" t="s">
        <v>102</v>
      </c>
      <c r="H8" s="39"/>
      <c r="I8" s="39"/>
      <c r="J8" s="39"/>
    </row>
    <row r="10" spans="1:12" ht="18" thickBot="1" x14ac:dyDescent="0.35">
      <c r="A10" s="5" t="s">
        <v>1</v>
      </c>
      <c r="B10" s="5" t="s">
        <v>6</v>
      </c>
      <c r="C10" s="5" t="s">
        <v>7</v>
      </c>
      <c r="D10" s="5" t="s">
        <v>8</v>
      </c>
      <c r="E10" s="5" t="s">
        <v>9</v>
      </c>
      <c r="G10" s="5" t="s">
        <v>6</v>
      </c>
      <c r="H10" s="5" t="s">
        <v>7</v>
      </c>
      <c r="I10" s="5" t="s">
        <v>8</v>
      </c>
      <c r="J10" s="5" t="s">
        <v>9</v>
      </c>
    </row>
    <row r="11" spans="1:12" ht="16.5" thickTop="1" x14ac:dyDescent="0.25">
      <c r="A11" s="4" t="s">
        <v>2</v>
      </c>
      <c r="E11" s="3"/>
    </row>
    <row r="12" spans="1:12" x14ac:dyDescent="0.25">
      <c r="A12" s="6" t="s">
        <v>3</v>
      </c>
      <c r="B12" s="16">
        <f>+B5*C12</f>
        <v>385000</v>
      </c>
      <c r="C12" s="13">
        <v>3.85</v>
      </c>
      <c r="D12" s="12">
        <f>+B12/B3</f>
        <v>1480.7692307692307</v>
      </c>
      <c r="E12" s="15">
        <f>+B12/B4</f>
        <v>4638.5542168674701</v>
      </c>
      <c r="G12" s="12">
        <f>+G5*H12</f>
        <v>513378.25</v>
      </c>
      <c r="H12" s="13">
        <f>+C12</f>
        <v>3.85</v>
      </c>
      <c r="I12" s="12">
        <f>+G12/$B$3</f>
        <v>1974.5317307692308</v>
      </c>
      <c r="J12" s="12">
        <f>+G12/B4</f>
        <v>6185.280120481928</v>
      </c>
    </row>
    <row r="13" spans="1:12" x14ac:dyDescent="0.25">
      <c r="A13" s="6" t="s">
        <v>4</v>
      </c>
      <c r="B13" s="13">
        <v>43200</v>
      </c>
      <c r="C13" s="12">
        <f>+B13/$B$5</f>
        <v>0.432</v>
      </c>
      <c r="D13" s="12">
        <f>+B13/$B$3</f>
        <v>166.15384615384616</v>
      </c>
      <c r="E13" s="12">
        <f>+B13/$B$4</f>
        <v>520.48192771084337</v>
      </c>
      <c r="G13" s="13">
        <f>+B13</f>
        <v>43200</v>
      </c>
      <c r="H13" s="12">
        <f>+G13/$G$5</f>
        <v>0.32397165248040799</v>
      </c>
      <c r="I13" s="12">
        <f>+G13/$B$3</f>
        <v>166.15384615384616</v>
      </c>
      <c r="J13" s="12">
        <f>+G13/$B$4</f>
        <v>520.48192771084337</v>
      </c>
    </row>
    <row r="14" spans="1:12" x14ac:dyDescent="0.25">
      <c r="A14" s="6" t="s">
        <v>5</v>
      </c>
      <c r="B14" s="13">
        <v>0</v>
      </c>
      <c r="C14" s="12">
        <f>+B14/$B$5</f>
        <v>0</v>
      </c>
      <c r="D14" s="12">
        <f>+B14/$B$3</f>
        <v>0</v>
      </c>
      <c r="E14" s="12">
        <f>+B14/$B$4</f>
        <v>0</v>
      </c>
      <c r="G14" s="13">
        <f>+B14</f>
        <v>0</v>
      </c>
      <c r="H14" s="12">
        <f>+G14/$B$5</f>
        <v>0</v>
      </c>
      <c r="I14" s="12">
        <f>+G14/$B$3</f>
        <v>0</v>
      </c>
      <c r="J14" s="12">
        <f>+G14/$B$4</f>
        <v>0</v>
      </c>
    </row>
    <row r="15" spans="1:12" x14ac:dyDescent="0.25">
      <c r="A15" s="7" t="s">
        <v>10</v>
      </c>
      <c r="B15" s="12">
        <f>SUM(B12:B14)</f>
        <v>428200</v>
      </c>
      <c r="C15" s="12">
        <f t="shared" ref="C15:E15" si="0">SUM(C12:C14)</f>
        <v>4.282</v>
      </c>
      <c r="D15" s="12">
        <f t="shared" si="0"/>
        <v>1646.9230769230769</v>
      </c>
      <c r="E15" s="12">
        <f t="shared" si="0"/>
        <v>5159.0361445783137</v>
      </c>
      <c r="G15" s="12">
        <f>SUM(G12:G14)</f>
        <v>556578.25</v>
      </c>
      <c r="H15" s="12">
        <f t="shared" ref="H15:J15" si="1">SUM(H12:H14)</f>
        <v>4.1739716524804082</v>
      </c>
      <c r="I15" s="12">
        <f t="shared" si="1"/>
        <v>2140.685576923077</v>
      </c>
      <c r="J15" s="12">
        <f t="shared" si="1"/>
        <v>6705.7620481927715</v>
      </c>
    </row>
    <row r="16" spans="1:12" x14ac:dyDescent="0.25">
      <c r="L16" s="2"/>
    </row>
    <row r="17" spans="1:12" ht="18" thickBot="1" x14ac:dyDescent="0.35">
      <c r="A17" s="5" t="s">
        <v>11</v>
      </c>
      <c r="B17" s="5" t="s">
        <v>6</v>
      </c>
      <c r="C17" s="5" t="s">
        <v>88</v>
      </c>
      <c r="D17" s="5" t="s">
        <v>8</v>
      </c>
      <c r="E17" s="5" t="s">
        <v>9</v>
      </c>
      <c r="G17" s="5" t="s">
        <v>6</v>
      </c>
      <c r="H17" s="5" t="s">
        <v>88</v>
      </c>
      <c r="I17" s="5" t="s">
        <v>8</v>
      </c>
      <c r="J17" s="5" t="s">
        <v>9</v>
      </c>
    </row>
    <row r="18" spans="1:12" ht="15.75" thickTop="1" x14ac:dyDescent="0.25">
      <c r="A18" s="9" t="s">
        <v>12</v>
      </c>
      <c r="B18" s="13">
        <v>13500</v>
      </c>
      <c r="C18" s="12">
        <f>+B18/$B$5</f>
        <v>0.13500000000000001</v>
      </c>
      <c r="D18" s="12">
        <f>+B18/$B$3</f>
        <v>51.92307692307692</v>
      </c>
      <c r="E18" s="12">
        <f>+B18/$B$4</f>
        <v>162.65060240963857</v>
      </c>
      <c r="G18" s="12">
        <f>B18</f>
        <v>13500</v>
      </c>
      <c r="H18" s="12">
        <f>+G18/$G$5</f>
        <v>0.10124114140012749</v>
      </c>
      <c r="I18" s="12">
        <f>+G18/$B$3</f>
        <v>51.92307692307692</v>
      </c>
      <c r="J18" s="12">
        <f>+G18/$B$4</f>
        <v>162.65060240963857</v>
      </c>
    </row>
    <row r="19" spans="1:12" x14ac:dyDescent="0.25">
      <c r="A19" s="9" t="s">
        <v>13</v>
      </c>
      <c r="B19" s="13">
        <v>16800</v>
      </c>
      <c r="C19" s="12">
        <f t="shared" ref="C19:C40" si="2">+B19/$B$5</f>
        <v>0.16800000000000001</v>
      </c>
      <c r="D19" s="12">
        <f t="shared" ref="D19:D40" si="3">+B19/$B$3</f>
        <v>64.615384615384613</v>
      </c>
      <c r="E19" s="12">
        <f t="shared" ref="E19:E40" si="4">+B19/$B$4</f>
        <v>202.40963855421685</v>
      </c>
      <c r="G19" s="18">
        <f>B19-(B3*300*0.1)</f>
        <v>9000</v>
      </c>
      <c r="H19" s="12">
        <f t="shared" ref="H19:H40" si="5">+G19/$G$5</f>
        <v>6.7494094266751653E-2</v>
      </c>
      <c r="I19" s="12">
        <f t="shared" ref="I19:I40" si="6">+G19/$B$3</f>
        <v>34.615384615384613</v>
      </c>
      <c r="J19" s="12">
        <f t="shared" ref="J19:J40" si="7">+G19/$B$4</f>
        <v>108.43373493975903</v>
      </c>
      <c r="L19" t="s">
        <v>41</v>
      </c>
    </row>
    <row r="20" spans="1:12" x14ac:dyDescent="0.25">
      <c r="A20" s="9" t="s">
        <v>14</v>
      </c>
      <c r="B20" s="13">
        <v>6000</v>
      </c>
      <c r="C20" s="12">
        <f t="shared" si="2"/>
        <v>0.06</v>
      </c>
      <c r="D20" s="12">
        <f t="shared" si="3"/>
        <v>23.076923076923077</v>
      </c>
      <c r="E20" s="12">
        <f t="shared" si="4"/>
        <v>72.289156626506028</v>
      </c>
      <c r="G20" s="12">
        <f t="shared" ref="G20:G23" si="8">B20</f>
        <v>6000</v>
      </c>
      <c r="H20" s="12">
        <f t="shared" si="5"/>
        <v>4.4996062844501104E-2</v>
      </c>
      <c r="I20" s="12">
        <f t="shared" si="6"/>
        <v>23.076923076923077</v>
      </c>
      <c r="J20" s="12">
        <f t="shared" si="7"/>
        <v>72.289156626506028</v>
      </c>
    </row>
    <row r="21" spans="1:12" x14ac:dyDescent="0.25">
      <c r="A21" s="9" t="s">
        <v>15</v>
      </c>
      <c r="B21" s="13">
        <v>11400</v>
      </c>
      <c r="C21" s="12">
        <f t="shared" si="2"/>
        <v>0.114</v>
      </c>
      <c r="D21" s="12">
        <f t="shared" si="3"/>
        <v>43.846153846153847</v>
      </c>
      <c r="E21" s="12">
        <f t="shared" si="4"/>
        <v>137.34939759036143</v>
      </c>
      <c r="G21" s="12">
        <f t="shared" si="8"/>
        <v>11400</v>
      </c>
      <c r="H21" s="12">
        <f t="shared" si="5"/>
        <v>8.5492519404552103E-2</v>
      </c>
      <c r="I21" s="12">
        <f t="shared" si="6"/>
        <v>43.846153846153847</v>
      </c>
      <c r="J21" s="12">
        <f t="shared" si="7"/>
        <v>137.34939759036143</v>
      </c>
    </row>
    <row r="22" spans="1:12" x14ac:dyDescent="0.25">
      <c r="A22" s="9" t="s">
        <v>16</v>
      </c>
      <c r="B22" s="13">
        <v>15600</v>
      </c>
      <c r="C22" s="12">
        <f t="shared" si="2"/>
        <v>0.156</v>
      </c>
      <c r="D22" s="12">
        <f t="shared" si="3"/>
        <v>60</v>
      </c>
      <c r="E22" s="12">
        <f t="shared" si="4"/>
        <v>187.95180722891567</v>
      </c>
      <c r="G22" s="12">
        <f t="shared" si="8"/>
        <v>15600</v>
      </c>
      <c r="H22" s="12">
        <f t="shared" si="5"/>
        <v>0.11698976339570287</v>
      </c>
      <c r="I22" s="12">
        <f t="shared" si="6"/>
        <v>60</v>
      </c>
      <c r="J22" s="12">
        <f t="shared" si="7"/>
        <v>187.95180722891567</v>
      </c>
    </row>
    <row r="23" spans="1:12" x14ac:dyDescent="0.25">
      <c r="A23" s="9" t="s">
        <v>17</v>
      </c>
      <c r="B23" s="13">
        <v>15500</v>
      </c>
      <c r="C23" s="12">
        <f t="shared" si="2"/>
        <v>0.155</v>
      </c>
      <c r="D23" s="12">
        <f t="shared" si="3"/>
        <v>59.615384615384613</v>
      </c>
      <c r="E23" s="12">
        <f t="shared" si="4"/>
        <v>186.74698795180723</v>
      </c>
      <c r="G23" s="12">
        <f t="shared" si="8"/>
        <v>15500</v>
      </c>
      <c r="H23" s="12">
        <f t="shared" si="5"/>
        <v>0.11623982901496119</v>
      </c>
      <c r="I23" s="12">
        <f t="shared" si="6"/>
        <v>59.615384615384613</v>
      </c>
      <c r="J23" s="12">
        <f t="shared" si="7"/>
        <v>186.74698795180723</v>
      </c>
    </row>
    <row r="24" spans="1:12" x14ac:dyDescent="0.25">
      <c r="A24" s="9" t="s">
        <v>18</v>
      </c>
      <c r="B24" s="13">
        <v>12000</v>
      </c>
      <c r="C24" s="12">
        <f t="shared" si="2"/>
        <v>0.12</v>
      </c>
      <c r="D24" s="12">
        <f t="shared" si="3"/>
        <v>46.153846153846153</v>
      </c>
      <c r="E24" s="12">
        <f t="shared" si="4"/>
        <v>144.57831325301206</v>
      </c>
      <c r="G24" s="12">
        <f>+B24</f>
        <v>12000</v>
      </c>
      <c r="H24" s="12">
        <f t="shared" si="5"/>
        <v>8.9992125689002209E-2</v>
      </c>
      <c r="I24" s="12">
        <f t="shared" si="6"/>
        <v>46.153846153846153</v>
      </c>
      <c r="J24" s="12">
        <f t="shared" si="7"/>
        <v>144.57831325301206</v>
      </c>
    </row>
    <row r="25" spans="1:12" x14ac:dyDescent="0.25">
      <c r="A25" s="9" t="s">
        <v>104</v>
      </c>
      <c r="B25" s="12"/>
      <c r="C25" s="12"/>
      <c r="D25" s="12"/>
      <c r="E25" s="12"/>
      <c r="G25" s="16">
        <f>+B3*300</f>
        <v>78000</v>
      </c>
      <c r="H25" s="12">
        <f t="shared" si="5"/>
        <v>0.58494881697851442</v>
      </c>
      <c r="I25" s="12">
        <f t="shared" si="6"/>
        <v>300</v>
      </c>
      <c r="J25" s="12">
        <f t="shared" si="7"/>
        <v>939.75903614457832</v>
      </c>
    </row>
    <row r="26" spans="1:12" x14ac:dyDescent="0.25">
      <c r="A26" s="6" t="s">
        <v>19</v>
      </c>
      <c r="B26" s="13">
        <v>25200</v>
      </c>
      <c r="C26" s="12">
        <f t="shared" si="2"/>
        <v>0.252</v>
      </c>
      <c r="D26" s="12">
        <f t="shared" si="3"/>
        <v>96.92307692307692</v>
      </c>
      <c r="E26" s="12">
        <f t="shared" si="4"/>
        <v>303.6144578313253</v>
      </c>
      <c r="G26" s="12">
        <f t="shared" ref="G26:G38" si="9">B26</f>
        <v>25200</v>
      </c>
      <c r="H26" s="12">
        <f t="shared" si="5"/>
        <v>0.18898346394690466</v>
      </c>
      <c r="I26" s="12">
        <f t="shared" si="6"/>
        <v>96.92307692307692</v>
      </c>
      <c r="J26" s="12">
        <f t="shared" si="7"/>
        <v>303.6144578313253</v>
      </c>
    </row>
    <row r="27" spans="1:12" x14ac:dyDescent="0.25">
      <c r="A27" s="6" t="s">
        <v>20</v>
      </c>
      <c r="B27" s="13">
        <v>10000</v>
      </c>
      <c r="C27" s="12">
        <f t="shared" si="2"/>
        <v>0.1</v>
      </c>
      <c r="D27" s="12">
        <f t="shared" si="3"/>
        <v>38.46153846153846</v>
      </c>
      <c r="E27" s="12">
        <f t="shared" si="4"/>
        <v>120.48192771084338</v>
      </c>
      <c r="G27" s="12">
        <f t="shared" si="9"/>
        <v>10000</v>
      </c>
      <c r="H27" s="12">
        <f t="shared" si="5"/>
        <v>7.4993438074168514E-2</v>
      </c>
      <c r="I27" s="12">
        <f t="shared" si="6"/>
        <v>38.46153846153846</v>
      </c>
      <c r="J27" s="12">
        <f t="shared" si="7"/>
        <v>120.48192771084338</v>
      </c>
    </row>
    <row r="28" spans="1:12" x14ac:dyDescent="0.25">
      <c r="A28" s="6" t="s">
        <v>21</v>
      </c>
      <c r="B28" s="13">
        <v>0</v>
      </c>
      <c r="C28" s="12">
        <f t="shared" si="2"/>
        <v>0</v>
      </c>
      <c r="D28" s="12">
        <f t="shared" si="3"/>
        <v>0</v>
      </c>
      <c r="E28" s="12">
        <f t="shared" si="4"/>
        <v>0</v>
      </c>
      <c r="G28" s="12">
        <f t="shared" si="9"/>
        <v>0</v>
      </c>
      <c r="H28" s="12">
        <f t="shared" si="5"/>
        <v>0</v>
      </c>
      <c r="I28" s="12">
        <f t="shared" si="6"/>
        <v>0</v>
      </c>
      <c r="J28" s="12">
        <f t="shared" si="7"/>
        <v>0</v>
      </c>
    </row>
    <row r="29" spans="1:12" x14ac:dyDescent="0.25">
      <c r="A29" s="8" t="s">
        <v>10</v>
      </c>
      <c r="B29" s="13">
        <f>SUM(B26:B28)</f>
        <v>35200</v>
      </c>
      <c r="C29" s="12">
        <f t="shared" si="2"/>
        <v>0.35199999999999998</v>
      </c>
      <c r="D29" s="12">
        <f t="shared" si="3"/>
        <v>135.38461538461539</v>
      </c>
      <c r="E29" s="12">
        <f t="shared" si="4"/>
        <v>424.09638554216866</v>
      </c>
      <c r="G29" s="12">
        <f t="shared" si="9"/>
        <v>35200</v>
      </c>
      <c r="H29" s="12">
        <f t="shared" si="5"/>
        <v>0.26397690202107316</v>
      </c>
      <c r="I29" s="12">
        <f t="shared" si="6"/>
        <v>135.38461538461539</v>
      </c>
      <c r="J29" s="12">
        <f t="shared" si="7"/>
        <v>424.09638554216866</v>
      </c>
    </row>
    <row r="30" spans="1:12" x14ac:dyDescent="0.25">
      <c r="A30" s="8" t="s">
        <v>22</v>
      </c>
      <c r="B30" s="13">
        <v>30000</v>
      </c>
      <c r="C30" s="12">
        <f t="shared" si="2"/>
        <v>0.3</v>
      </c>
      <c r="D30" s="12">
        <f t="shared" si="3"/>
        <v>115.38461538461539</v>
      </c>
      <c r="E30" s="12">
        <f t="shared" si="4"/>
        <v>361.4457831325301</v>
      </c>
      <c r="G30" s="12">
        <f t="shared" si="9"/>
        <v>30000</v>
      </c>
      <c r="H30" s="12">
        <f t="shared" si="5"/>
        <v>0.22498031422250553</v>
      </c>
      <c r="I30" s="12">
        <f t="shared" si="6"/>
        <v>115.38461538461539</v>
      </c>
      <c r="J30" s="12">
        <f t="shared" si="7"/>
        <v>361.4457831325301</v>
      </c>
    </row>
    <row r="31" spans="1:12" x14ac:dyDescent="0.25">
      <c r="A31" s="8" t="s">
        <v>23</v>
      </c>
      <c r="B31" s="13">
        <v>1000</v>
      </c>
      <c r="C31" s="12">
        <f t="shared" si="2"/>
        <v>0.01</v>
      </c>
      <c r="D31" s="12">
        <f t="shared" si="3"/>
        <v>3.8461538461538463</v>
      </c>
      <c r="E31" s="12">
        <f t="shared" si="4"/>
        <v>12.048192771084338</v>
      </c>
      <c r="G31" s="12">
        <f t="shared" si="9"/>
        <v>1000</v>
      </c>
      <c r="H31" s="12">
        <f t="shared" si="5"/>
        <v>7.4993438074168507E-3</v>
      </c>
      <c r="I31" s="12">
        <f t="shared" si="6"/>
        <v>3.8461538461538463</v>
      </c>
      <c r="J31" s="12">
        <f t="shared" si="7"/>
        <v>12.048192771084338</v>
      </c>
    </row>
    <row r="32" spans="1:12" x14ac:dyDescent="0.25">
      <c r="A32" s="8" t="s">
        <v>24</v>
      </c>
      <c r="B32" s="13">
        <v>500</v>
      </c>
      <c r="C32" s="12">
        <f t="shared" si="2"/>
        <v>5.0000000000000001E-3</v>
      </c>
      <c r="D32" s="12">
        <f t="shared" si="3"/>
        <v>1.9230769230769231</v>
      </c>
      <c r="E32" s="12">
        <f t="shared" si="4"/>
        <v>6.024096385542169</v>
      </c>
      <c r="G32" s="12">
        <f t="shared" si="9"/>
        <v>500</v>
      </c>
      <c r="H32" s="12">
        <f t="shared" si="5"/>
        <v>3.7496719037084254E-3</v>
      </c>
      <c r="I32" s="12">
        <f t="shared" si="6"/>
        <v>1.9230769230769231</v>
      </c>
      <c r="J32" s="12">
        <f t="shared" si="7"/>
        <v>6.024096385542169</v>
      </c>
    </row>
    <row r="33" spans="1:10" x14ac:dyDescent="0.25">
      <c r="A33" s="8" t="s">
        <v>25</v>
      </c>
      <c r="B33" s="13">
        <v>27000</v>
      </c>
      <c r="C33" s="12">
        <f t="shared" si="2"/>
        <v>0.27</v>
      </c>
      <c r="D33" s="12">
        <f t="shared" si="3"/>
        <v>103.84615384615384</v>
      </c>
      <c r="E33" s="12">
        <f t="shared" si="4"/>
        <v>325.30120481927713</v>
      </c>
      <c r="G33" s="12">
        <f t="shared" si="9"/>
        <v>27000</v>
      </c>
      <c r="H33" s="12">
        <f t="shared" si="5"/>
        <v>0.20248228280025499</v>
      </c>
      <c r="I33" s="12">
        <f t="shared" si="6"/>
        <v>103.84615384615384</v>
      </c>
      <c r="J33" s="12">
        <f t="shared" si="7"/>
        <v>325.30120481927713</v>
      </c>
    </row>
    <row r="34" spans="1:10" x14ac:dyDescent="0.25">
      <c r="A34" s="8" t="s">
        <v>26</v>
      </c>
      <c r="B34" s="13">
        <v>26400</v>
      </c>
      <c r="C34" s="12">
        <f t="shared" si="2"/>
        <v>0.26400000000000001</v>
      </c>
      <c r="D34" s="12">
        <f t="shared" si="3"/>
        <v>101.53846153846153</v>
      </c>
      <c r="E34" s="12">
        <f t="shared" si="4"/>
        <v>318.07228915662648</v>
      </c>
      <c r="G34" s="12">
        <f t="shared" si="9"/>
        <v>26400</v>
      </c>
      <c r="H34" s="12">
        <f t="shared" si="5"/>
        <v>0.19798267651580487</v>
      </c>
      <c r="I34" s="12">
        <f t="shared" si="6"/>
        <v>101.53846153846153</v>
      </c>
      <c r="J34" s="12">
        <f t="shared" si="7"/>
        <v>318.07228915662648</v>
      </c>
    </row>
    <row r="35" spans="1:10" x14ac:dyDescent="0.25">
      <c r="A35" s="8" t="s">
        <v>27</v>
      </c>
      <c r="B35" s="13">
        <v>6800</v>
      </c>
      <c r="C35" s="12">
        <f t="shared" si="2"/>
        <v>6.8000000000000005E-2</v>
      </c>
      <c r="D35" s="12">
        <f t="shared" si="3"/>
        <v>26.153846153846153</v>
      </c>
      <c r="E35" s="12">
        <f t="shared" si="4"/>
        <v>81.92771084337349</v>
      </c>
      <c r="G35" s="12">
        <f t="shared" si="9"/>
        <v>6800</v>
      </c>
      <c r="H35" s="12">
        <f t="shared" si="5"/>
        <v>5.0995537890434588E-2</v>
      </c>
      <c r="I35" s="12">
        <f t="shared" si="6"/>
        <v>26.153846153846153</v>
      </c>
      <c r="J35" s="12">
        <f t="shared" si="7"/>
        <v>81.92771084337349</v>
      </c>
    </row>
    <row r="36" spans="1:10" x14ac:dyDescent="0.25">
      <c r="A36" s="8" t="s">
        <v>28</v>
      </c>
      <c r="B36" s="13">
        <v>10500</v>
      </c>
      <c r="C36" s="12">
        <f t="shared" si="2"/>
        <v>0.105</v>
      </c>
      <c r="D36" s="12">
        <f t="shared" si="3"/>
        <v>40.384615384615387</v>
      </c>
      <c r="E36" s="12">
        <f t="shared" si="4"/>
        <v>126.50602409638554</v>
      </c>
      <c r="G36" s="12">
        <f t="shared" si="9"/>
        <v>10500</v>
      </c>
      <c r="H36" s="12">
        <f t="shared" si="5"/>
        <v>7.8743109977876938E-2</v>
      </c>
      <c r="I36" s="12">
        <f t="shared" si="6"/>
        <v>40.384615384615387</v>
      </c>
      <c r="J36" s="12">
        <f t="shared" si="7"/>
        <v>126.50602409638554</v>
      </c>
    </row>
    <row r="37" spans="1:10" x14ac:dyDescent="0.25">
      <c r="A37" s="8" t="s">
        <v>29</v>
      </c>
      <c r="B37" s="13">
        <v>11500</v>
      </c>
      <c r="C37" s="12">
        <f t="shared" si="2"/>
        <v>0.115</v>
      </c>
      <c r="D37" s="12">
        <f t="shared" si="3"/>
        <v>44.230769230769234</v>
      </c>
      <c r="E37" s="12">
        <f t="shared" si="4"/>
        <v>138.55421686746988</v>
      </c>
      <c r="G37" s="12">
        <f t="shared" si="9"/>
        <v>11500</v>
      </c>
      <c r="H37" s="12">
        <f t="shared" si="5"/>
        <v>8.6242453785293785E-2</v>
      </c>
      <c r="I37" s="12">
        <f t="shared" si="6"/>
        <v>44.230769230769234</v>
      </c>
      <c r="J37" s="12">
        <f t="shared" si="7"/>
        <v>138.55421686746988</v>
      </c>
    </row>
    <row r="38" spans="1:10" x14ac:dyDescent="0.25">
      <c r="A38" s="8" t="s">
        <v>30</v>
      </c>
      <c r="B38" s="13">
        <v>32000</v>
      </c>
      <c r="C38" s="12">
        <f t="shared" si="2"/>
        <v>0.32</v>
      </c>
      <c r="D38" s="12">
        <f t="shared" si="3"/>
        <v>123.07692307692308</v>
      </c>
      <c r="E38" s="12">
        <f t="shared" si="4"/>
        <v>385.54216867469881</v>
      </c>
      <c r="G38" s="12">
        <f t="shared" si="9"/>
        <v>32000</v>
      </c>
      <c r="H38" s="12">
        <f t="shared" si="5"/>
        <v>0.23997900183733922</v>
      </c>
      <c r="I38" s="12">
        <f t="shared" si="6"/>
        <v>123.07692307692308</v>
      </c>
      <c r="J38" s="12">
        <f t="shared" si="7"/>
        <v>385.54216867469881</v>
      </c>
    </row>
    <row r="39" spans="1:10" ht="18" thickBot="1" x14ac:dyDescent="0.35">
      <c r="A39" s="10" t="s">
        <v>31</v>
      </c>
      <c r="B39" s="12">
        <f>SUM(B18:B38)-2*SUM(B26:B28)</f>
        <v>236500</v>
      </c>
      <c r="C39" s="12">
        <f t="shared" si="2"/>
        <v>2.3650000000000002</v>
      </c>
      <c r="D39" s="12">
        <f t="shared" si="3"/>
        <v>909.61538461538464</v>
      </c>
      <c r="E39" s="12">
        <f t="shared" si="4"/>
        <v>2849.397590361446</v>
      </c>
      <c r="G39" s="12">
        <f>SUM(G18:G38)-2*SUM(G26:G28)</f>
        <v>306700</v>
      </c>
      <c r="H39" s="12">
        <f t="shared" si="5"/>
        <v>2.300048745734748</v>
      </c>
      <c r="I39" s="12">
        <f t="shared" si="6"/>
        <v>1179.6153846153845</v>
      </c>
      <c r="J39" s="12">
        <f t="shared" si="7"/>
        <v>3695.1807228915663</v>
      </c>
    </row>
    <row r="40" spans="1:10" ht="18.75" thickTop="1" thickBot="1" x14ac:dyDescent="0.35">
      <c r="A40" s="10" t="s">
        <v>32</v>
      </c>
      <c r="B40" s="12">
        <f>+B15-B39</f>
        <v>191700</v>
      </c>
      <c r="C40" s="12">
        <f t="shared" si="2"/>
        <v>1.917</v>
      </c>
      <c r="D40" s="12">
        <f t="shared" si="3"/>
        <v>737.30769230769226</v>
      </c>
      <c r="E40" s="12">
        <f t="shared" si="4"/>
        <v>2309.6385542168673</v>
      </c>
      <c r="G40" s="12">
        <f>+G15-G39</f>
        <v>249878.25</v>
      </c>
      <c r="H40" s="12">
        <f t="shared" si="5"/>
        <v>1.8739229067456598</v>
      </c>
      <c r="I40" s="12">
        <f t="shared" si="6"/>
        <v>961.07019230769231</v>
      </c>
      <c r="J40" s="12">
        <f t="shared" si="7"/>
        <v>3010.5813253012047</v>
      </c>
    </row>
    <row r="41" spans="1:10" ht="15.75" thickTop="1" x14ac:dyDescent="0.25"/>
  </sheetData>
  <mergeCells count="4">
    <mergeCell ref="F6:F8"/>
    <mergeCell ref="G7:J7"/>
    <mergeCell ref="G8:J8"/>
    <mergeCell ref="F4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1"/>
  <sheetViews>
    <sheetView workbookViewId="0"/>
  </sheetViews>
  <sheetFormatPr defaultRowHeight="15" x14ac:dyDescent="0.25"/>
  <cols>
    <col min="1" max="1" width="36.875" customWidth="1"/>
    <col min="2" max="2" width="13.25" customWidth="1"/>
    <col min="3" max="3" width="11.75" customWidth="1"/>
    <col min="4" max="4" width="13.25" customWidth="1"/>
    <col min="5" max="5" width="12.75" customWidth="1"/>
    <col min="6" max="6" width="11.125" bestFit="1" customWidth="1"/>
    <col min="7" max="7" width="12.75" bestFit="1" customWidth="1"/>
  </cols>
  <sheetData>
    <row r="1" spans="1:12" ht="75" x14ac:dyDescent="0.25">
      <c r="A1" s="11" t="s">
        <v>43</v>
      </c>
      <c r="B1" s="1"/>
    </row>
    <row r="2" spans="1:12" x14ac:dyDescent="0.25">
      <c r="A2" s="11"/>
      <c r="B2" s="1"/>
    </row>
    <row r="3" spans="1:12" x14ac:dyDescent="0.25">
      <c r="A3" s="11" t="s">
        <v>36</v>
      </c>
      <c r="B3" s="14">
        <v>460</v>
      </c>
    </row>
    <row r="4" spans="1:12" x14ac:dyDescent="0.25">
      <c r="A4" s="11" t="s">
        <v>37</v>
      </c>
      <c r="B4" s="14">
        <v>170</v>
      </c>
      <c r="F4" s="40" t="s">
        <v>50</v>
      </c>
      <c r="G4" s="21"/>
    </row>
    <row r="5" spans="1:12" x14ac:dyDescent="0.25">
      <c r="A5" s="11" t="s">
        <v>33</v>
      </c>
      <c r="B5" s="14">
        <v>165000</v>
      </c>
      <c r="F5" s="41"/>
      <c r="G5" s="22">
        <f>+B5+(0.475*270*B3)</f>
        <v>223995</v>
      </c>
    </row>
    <row r="6" spans="1:12" x14ac:dyDescent="0.25">
      <c r="A6" s="11" t="s">
        <v>34</v>
      </c>
      <c r="B6" s="19">
        <f>+B5/B3</f>
        <v>358.69565217391306</v>
      </c>
      <c r="F6" s="42" t="s">
        <v>103</v>
      </c>
      <c r="G6" s="2" t="s">
        <v>40</v>
      </c>
    </row>
    <row r="7" spans="1:12" ht="15" customHeight="1" x14ac:dyDescent="0.25">
      <c r="A7" s="11" t="s">
        <v>35</v>
      </c>
      <c r="B7" s="20">
        <f>+B3/B4</f>
        <v>2.7058823529411766</v>
      </c>
      <c r="F7" s="42"/>
      <c r="G7" s="39" t="s">
        <v>39</v>
      </c>
      <c r="H7" s="39"/>
      <c r="I7" s="39"/>
      <c r="J7" s="39"/>
    </row>
    <row r="8" spans="1:12" x14ac:dyDescent="0.25">
      <c r="A8" s="11"/>
      <c r="B8" s="1"/>
      <c r="F8" s="42"/>
      <c r="G8" s="39" t="s">
        <v>102</v>
      </c>
      <c r="H8" s="39"/>
      <c r="I8" s="39"/>
      <c r="J8" s="39"/>
    </row>
    <row r="10" spans="1:12" ht="18" thickBot="1" x14ac:dyDescent="0.35">
      <c r="A10" s="5" t="s">
        <v>1</v>
      </c>
      <c r="B10" s="5" t="s">
        <v>6</v>
      </c>
      <c r="C10" s="5" t="s">
        <v>88</v>
      </c>
      <c r="D10" s="5" t="s">
        <v>8</v>
      </c>
      <c r="E10" s="5" t="s">
        <v>9</v>
      </c>
      <c r="G10" s="5" t="s">
        <v>6</v>
      </c>
      <c r="H10" s="5" t="s">
        <v>88</v>
      </c>
      <c r="I10" s="5" t="s">
        <v>8</v>
      </c>
      <c r="J10" s="5" t="s">
        <v>9</v>
      </c>
    </row>
    <row r="11" spans="1:12" ht="16.5" thickTop="1" x14ac:dyDescent="0.25">
      <c r="A11" s="4" t="s">
        <v>2</v>
      </c>
      <c r="E11" s="3"/>
    </row>
    <row r="12" spans="1:12" x14ac:dyDescent="0.25">
      <c r="A12" s="6" t="s">
        <v>3</v>
      </c>
      <c r="B12" s="16">
        <f>+B5*C12</f>
        <v>317625</v>
      </c>
      <c r="C12" s="13">
        <f>3.85/2</f>
        <v>1.925</v>
      </c>
      <c r="D12" s="12">
        <f>+B12/B3</f>
        <v>690.48913043478262</v>
      </c>
      <c r="E12" s="15">
        <f>+B12/B4</f>
        <v>1868.3823529411766</v>
      </c>
      <c r="G12" s="12">
        <f>+G5*H12</f>
        <v>431190.375</v>
      </c>
      <c r="H12" s="13">
        <f>+C12</f>
        <v>1.925</v>
      </c>
      <c r="I12" s="12">
        <f>+G12/$B$3</f>
        <v>937.37038043478265</v>
      </c>
      <c r="J12" s="12">
        <f>+G12/B4</f>
        <v>2536.4139705882353</v>
      </c>
    </row>
    <row r="13" spans="1:12" x14ac:dyDescent="0.25">
      <c r="A13" s="6" t="s">
        <v>4</v>
      </c>
      <c r="B13" s="13">
        <v>68390</v>
      </c>
      <c r="C13" s="12">
        <f>+B13/$B$5</f>
        <v>0.41448484848484851</v>
      </c>
      <c r="D13" s="12">
        <f>+B13/$B$3</f>
        <v>148.67391304347825</v>
      </c>
      <c r="E13" s="12">
        <f>+B13/$B$4</f>
        <v>402.29411764705884</v>
      </c>
      <c r="G13" s="13">
        <f>+B13</f>
        <v>68390</v>
      </c>
      <c r="H13" s="12">
        <f>+G13/$G$5</f>
        <v>0.30531931516328492</v>
      </c>
      <c r="I13" s="12">
        <f>+G13/$B$3</f>
        <v>148.67391304347825</v>
      </c>
      <c r="J13" s="12">
        <f>+G13/$B$4</f>
        <v>402.29411764705884</v>
      </c>
    </row>
    <row r="14" spans="1:12" x14ac:dyDescent="0.25">
      <c r="A14" s="6" t="s">
        <v>5</v>
      </c>
      <c r="B14" s="13">
        <v>0</v>
      </c>
      <c r="C14" s="12">
        <f>+B14/$B$5</f>
        <v>0</v>
      </c>
      <c r="D14" s="12">
        <f>+B14/$B$3</f>
        <v>0</v>
      </c>
      <c r="E14" s="12">
        <f>+B14/$B$4</f>
        <v>0</v>
      </c>
      <c r="G14" s="13">
        <f>+B14</f>
        <v>0</v>
      </c>
      <c r="H14" s="12">
        <f>+G14/$G$5</f>
        <v>0</v>
      </c>
      <c r="I14" s="12">
        <f>+G14/$B$3</f>
        <v>0</v>
      </c>
      <c r="J14" s="12">
        <f>+G14/$B$4</f>
        <v>0</v>
      </c>
    </row>
    <row r="15" spans="1:12" x14ac:dyDescent="0.25">
      <c r="A15" s="7" t="s">
        <v>10</v>
      </c>
      <c r="B15" s="12">
        <f>SUM(B12:B14)</f>
        <v>386015</v>
      </c>
      <c r="C15" s="12">
        <f t="shared" ref="C15:E15" si="0">SUM(C12:C14)</f>
        <v>2.3394848484848487</v>
      </c>
      <c r="D15" s="12">
        <f t="shared" si="0"/>
        <v>839.16304347826087</v>
      </c>
      <c r="E15" s="12">
        <f t="shared" si="0"/>
        <v>2270.6764705882356</v>
      </c>
      <c r="G15" s="12">
        <f>SUM(G12:G14)</f>
        <v>499580.375</v>
      </c>
      <c r="H15" s="12">
        <f t="shared" ref="H15:J15" si="1">SUM(H12:H14)</f>
        <v>2.230319315163285</v>
      </c>
      <c r="I15" s="12">
        <f t="shared" si="1"/>
        <v>1086.0442934782609</v>
      </c>
      <c r="J15" s="12">
        <f t="shared" si="1"/>
        <v>2938.7080882352943</v>
      </c>
    </row>
    <row r="16" spans="1:12" x14ac:dyDescent="0.25">
      <c r="L16" s="2"/>
    </row>
    <row r="17" spans="1:12" ht="18" thickBot="1" x14ac:dyDescent="0.35">
      <c r="A17" s="5" t="s">
        <v>11</v>
      </c>
      <c r="B17" s="5" t="s">
        <v>6</v>
      </c>
      <c r="C17" s="5" t="s">
        <v>7</v>
      </c>
      <c r="D17" s="5" t="s">
        <v>8</v>
      </c>
      <c r="E17" s="5" t="s">
        <v>9</v>
      </c>
    </row>
    <row r="18" spans="1:12" ht="15.75" thickTop="1" x14ac:dyDescent="0.25">
      <c r="A18" s="9" t="s">
        <v>12</v>
      </c>
      <c r="B18" s="13">
        <v>94360</v>
      </c>
      <c r="C18" s="12">
        <f>+B18/$B$5</f>
        <v>0.57187878787878788</v>
      </c>
      <c r="D18" s="12">
        <f>+B18/$B$3</f>
        <v>205.13043478260869</v>
      </c>
      <c r="E18" s="12">
        <f>+B18/$B$4</f>
        <v>555.05882352941171</v>
      </c>
      <c r="G18" s="12">
        <f>B18</f>
        <v>94360</v>
      </c>
      <c r="H18" s="12">
        <f t="shared" ref="H18:H40" si="2">+G18/$G$5</f>
        <v>0.42125940311167659</v>
      </c>
      <c r="I18" s="12">
        <f>+G18/$B$3</f>
        <v>205.13043478260869</v>
      </c>
      <c r="J18" s="12">
        <f>+G18/$B$4</f>
        <v>555.05882352941171</v>
      </c>
    </row>
    <row r="19" spans="1:12" x14ac:dyDescent="0.25">
      <c r="A19" s="9" t="s">
        <v>13</v>
      </c>
      <c r="B19" s="13">
        <v>30328</v>
      </c>
      <c r="C19" s="12">
        <f t="shared" ref="C19:C40" si="3">+B19/$B$5</f>
        <v>0.18380606060606061</v>
      </c>
      <c r="D19" s="12">
        <f t="shared" ref="D19:D40" si="4">+B19/$B$3</f>
        <v>65.9304347826087</v>
      </c>
      <c r="E19" s="12">
        <f t="shared" ref="E19:E40" si="5">+B19/$B$4</f>
        <v>178.4</v>
      </c>
      <c r="G19" s="18">
        <f>B19-(B3*300*0.1)</f>
        <v>16528</v>
      </c>
      <c r="H19" s="12">
        <f t="shared" si="2"/>
        <v>7.3787361325029582E-2</v>
      </c>
      <c r="I19" s="12">
        <f t="shared" ref="I19:I40" si="6">+G19/$B$3</f>
        <v>35.930434782608693</v>
      </c>
      <c r="J19" s="12">
        <f t="shared" ref="J19:J40" si="7">+G19/$B$4</f>
        <v>97.223529411764702</v>
      </c>
      <c r="L19" t="s">
        <v>41</v>
      </c>
    </row>
    <row r="20" spans="1:12" x14ac:dyDescent="0.25">
      <c r="A20" s="9" t="s">
        <v>14</v>
      </c>
      <c r="B20" s="13">
        <v>24118</v>
      </c>
      <c r="C20" s="12">
        <f t="shared" si="3"/>
        <v>0.14616969696969698</v>
      </c>
      <c r="D20" s="12">
        <f t="shared" si="4"/>
        <v>52.430434782608693</v>
      </c>
      <c r="E20" s="12">
        <f t="shared" si="5"/>
        <v>141.87058823529412</v>
      </c>
      <c r="G20" s="12">
        <f t="shared" ref="G20:G23" si="8">B20</f>
        <v>24118</v>
      </c>
      <c r="H20" s="12">
        <f t="shared" si="2"/>
        <v>0.10767204625103238</v>
      </c>
      <c r="I20" s="12">
        <f t="shared" si="6"/>
        <v>52.430434782608693</v>
      </c>
      <c r="J20" s="12">
        <f t="shared" si="7"/>
        <v>141.87058823529412</v>
      </c>
    </row>
    <row r="21" spans="1:12" x14ac:dyDescent="0.25">
      <c r="A21" s="9" t="s">
        <v>15</v>
      </c>
      <c r="B21" s="13">
        <v>3710</v>
      </c>
      <c r="C21" s="12">
        <f t="shared" si="3"/>
        <v>2.2484848484848486E-2</v>
      </c>
      <c r="D21" s="12">
        <f t="shared" si="4"/>
        <v>8.0652173913043477</v>
      </c>
      <c r="E21" s="12">
        <f t="shared" si="5"/>
        <v>21.823529411764707</v>
      </c>
      <c r="G21" s="12">
        <f t="shared" si="8"/>
        <v>3710</v>
      </c>
      <c r="H21" s="12">
        <f t="shared" si="2"/>
        <v>1.6562869706913102E-2</v>
      </c>
      <c r="I21" s="12">
        <f t="shared" si="6"/>
        <v>8.0652173913043477</v>
      </c>
      <c r="J21" s="12">
        <f t="shared" si="7"/>
        <v>21.823529411764707</v>
      </c>
    </row>
    <row r="22" spans="1:12" x14ac:dyDescent="0.25">
      <c r="A22" s="9" t="s">
        <v>16</v>
      </c>
      <c r="B22" s="13">
        <v>16340</v>
      </c>
      <c r="C22" s="12">
        <f t="shared" si="3"/>
        <v>9.9030303030303024E-2</v>
      </c>
      <c r="D22" s="12">
        <f t="shared" si="4"/>
        <v>35.521739130434781</v>
      </c>
      <c r="E22" s="12">
        <f t="shared" si="5"/>
        <v>96.117647058823536</v>
      </c>
      <c r="G22" s="12">
        <f t="shared" si="8"/>
        <v>16340</v>
      </c>
      <c r="H22" s="12">
        <f t="shared" si="2"/>
        <v>7.2948056876269554E-2</v>
      </c>
      <c r="I22" s="12">
        <f t="shared" si="6"/>
        <v>35.521739130434781</v>
      </c>
      <c r="J22" s="12">
        <f t="shared" si="7"/>
        <v>96.117647058823536</v>
      </c>
    </row>
    <row r="23" spans="1:12" x14ac:dyDescent="0.25">
      <c r="A23" s="9" t="s">
        <v>17</v>
      </c>
      <c r="B23" s="13">
        <v>16000</v>
      </c>
      <c r="C23" s="12">
        <f t="shared" si="3"/>
        <v>9.696969696969697E-2</v>
      </c>
      <c r="D23" s="12">
        <f t="shared" si="4"/>
        <v>34.782608695652172</v>
      </c>
      <c r="E23" s="12">
        <f t="shared" si="5"/>
        <v>94.117647058823536</v>
      </c>
      <c r="G23" s="12">
        <f t="shared" si="8"/>
        <v>16000</v>
      </c>
      <c r="H23" s="12">
        <f t="shared" si="2"/>
        <v>7.1430165851916333E-2</v>
      </c>
      <c r="I23" s="12">
        <f t="shared" si="6"/>
        <v>34.782608695652172</v>
      </c>
      <c r="J23" s="12">
        <f t="shared" si="7"/>
        <v>94.117647058823536</v>
      </c>
    </row>
    <row r="24" spans="1:12" x14ac:dyDescent="0.25">
      <c r="A24" s="9" t="s">
        <v>18</v>
      </c>
      <c r="B24" s="13">
        <v>23680</v>
      </c>
      <c r="C24" s="12">
        <f t="shared" si="3"/>
        <v>0.14351515151515151</v>
      </c>
      <c r="D24" s="12">
        <f t="shared" si="4"/>
        <v>51.478260869565219</v>
      </c>
      <c r="E24" s="12">
        <f t="shared" si="5"/>
        <v>139.29411764705881</v>
      </c>
      <c r="G24" s="12">
        <v>0</v>
      </c>
      <c r="H24" s="12">
        <f t="shared" si="2"/>
        <v>0</v>
      </c>
      <c r="I24" s="12">
        <f t="shared" si="6"/>
        <v>0</v>
      </c>
      <c r="J24" s="12">
        <f t="shared" si="7"/>
        <v>0</v>
      </c>
    </row>
    <row r="25" spans="1:12" x14ac:dyDescent="0.25">
      <c r="A25" s="9" t="s">
        <v>104</v>
      </c>
      <c r="B25" s="12"/>
      <c r="C25" s="12"/>
      <c r="D25" s="12"/>
      <c r="E25" s="12"/>
      <c r="G25" s="16">
        <f>+B3*300*0.5</f>
        <v>69000</v>
      </c>
      <c r="H25" s="12">
        <f t="shared" si="2"/>
        <v>0.30804259023638919</v>
      </c>
      <c r="I25" s="12">
        <f t="shared" si="6"/>
        <v>150</v>
      </c>
      <c r="J25" s="12">
        <f t="shared" si="7"/>
        <v>405.88235294117646</v>
      </c>
    </row>
    <row r="26" spans="1:12" x14ac:dyDescent="0.25">
      <c r="A26" s="6" t="s">
        <v>45</v>
      </c>
      <c r="B26" s="13">
        <v>35753</v>
      </c>
      <c r="C26" s="12">
        <f t="shared" si="3"/>
        <v>0.21668484848484848</v>
      </c>
      <c r="D26" s="12">
        <f t="shared" si="4"/>
        <v>77.723913043478262</v>
      </c>
      <c r="E26" s="12">
        <f t="shared" si="5"/>
        <v>210.31176470588235</v>
      </c>
      <c r="G26" s="12">
        <f t="shared" ref="G26:G38" si="9">B26</f>
        <v>35753</v>
      </c>
      <c r="H26" s="12">
        <f t="shared" si="2"/>
        <v>0.15961516998147279</v>
      </c>
      <c r="I26" s="12">
        <f t="shared" si="6"/>
        <v>77.723913043478262</v>
      </c>
      <c r="J26" s="12">
        <f t="shared" si="7"/>
        <v>210.31176470588235</v>
      </c>
    </row>
    <row r="27" spans="1:12" x14ac:dyDescent="0.25">
      <c r="A27" s="6" t="s">
        <v>44</v>
      </c>
      <c r="B27" s="13">
        <v>7767</v>
      </c>
      <c r="C27" s="12">
        <f t="shared" si="3"/>
        <v>4.7072727272727273E-2</v>
      </c>
      <c r="D27" s="12">
        <f t="shared" si="4"/>
        <v>16.884782608695652</v>
      </c>
      <c r="E27" s="12">
        <f t="shared" si="5"/>
        <v>45.688235294117646</v>
      </c>
      <c r="G27" s="12">
        <f t="shared" si="9"/>
        <v>7767</v>
      </c>
      <c r="H27" s="12">
        <f t="shared" si="2"/>
        <v>3.4674881135739639E-2</v>
      </c>
      <c r="I27" s="12">
        <f t="shared" si="6"/>
        <v>16.884782608695652</v>
      </c>
      <c r="J27" s="12">
        <f t="shared" si="7"/>
        <v>45.688235294117646</v>
      </c>
    </row>
    <row r="28" spans="1:12" x14ac:dyDescent="0.25">
      <c r="A28" s="6" t="s">
        <v>21</v>
      </c>
      <c r="B28" s="13">
        <v>0</v>
      </c>
      <c r="C28" s="12">
        <f t="shared" si="3"/>
        <v>0</v>
      </c>
      <c r="D28" s="12">
        <f t="shared" si="4"/>
        <v>0</v>
      </c>
      <c r="E28" s="12">
        <f t="shared" si="5"/>
        <v>0</v>
      </c>
      <c r="G28" s="12">
        <f t="shared" si="9"/>
        <v>0</v>
      </c>
      <c r="H28" s="12">
        <f t="shared" si="2"/>
        <v>0</v>
      </c>
      <c r="I28" s="12">
        <f t="shared" si="6"/>
        <v>0</v>
      </c>
      <c r="J28" s="12">
        <f t="shared" si="7"/>
        <v>0</v>
      </c>
    </row>
    <row r="29" spans="1:12" x14ac:dyDescent="0.25">
      <c r="A29" s="8" t="s">
        <v>10</v>
      </c>
      <c r="B29" s="13">
        <f>SUM(B26:B28)</f>
        <v>43520</v>
      </c>
      <c r="C29" s="12">
        <f t="shared" si="3"/>
        <v>0.26375757575757575</v>
      </c>
      <c r="D29" s="12">
        <f t="shared" si="4"/>
        <v>94.608695652173907</v>
      </c>
      <c r="E29" s="12">
        <f t="shared" si="5"/>
        <v>256</v>
      </c>
      <c r="G29" s="12">
        <f t="shared" si="9"/>
        <v>43520</v>
      </c>
      <c r="H29" s="12">
        <f t="shared" si="2"/>
        <v>0.19429005111721243</v>
      </c>
      <c r="I29" s="12">
        <f t="shared" si="6"/>
        <v>94.608695652173907</v>
      </c>
      <c r="J29" s="12">
        <f t="shared" si="7"/>
        <v>256</v>
      </c>
    </row>
    <row r="30" spans="1:12" x14ac:dyDescent="0.25">
      <c r="A30" s="8" t="s">
        <v>22</v>
      </c>
      <c r="B30" s="13">
        <v>16775</v>
      </c>
      <c r="C30" s="12">
        <f t="shared" si="3"/>
        <v>0.10166666666666667</v>
      </c>
      <c r="D30" s="12">
        <f t="shared" si="4"/>
        <v>36.467391304347828</v>
      </c>
      <c r="E30" s="12">
        <f t="shared" si="5"/>
        <v>98.67647058823529</v>
      </c>
      <c r="G30" s="12">
        <f t="shared" si="9"/>
        <v>16775</v>
      </c>
      <c r="H30" s="12">
        <f t="shared" si="2"/>
        <v>7.4890064510368531E-2</v>
      </c>
      <c r="I30" s="12">
        <f t="shared" si="6"/>
        <v>36.467391304347828</v>
      </c>
      <c r="J30" s="12">
        <f t="shared" si="7"/>
        <v>98.67647058823529</v>
      </c>
    </row>
    <row r="31" spans="1:12" x14ac:dyDescent="0.25">
      <c r="A31" s="8" t="s">
        <v>23</v>
      </c>
      <c r="B31" s="13">
        <v>4500</v>
      </c>
      <c r="C31" s="12">
        <f t="shared" si="3"/>
        <v>2.7272727272727271E-2</v>
      </c>
      <c r="D31" s="12">
        <f t="shared" si="4"/>
        <v>9.7826086956521738</v>
      </c>
      <c r="E31" s="12">
        <f t="shared" si="5"/>
        <v>26.470588235294116</v>
      </c>
      <c r="G31" s="12">
        <f t="shared" si="9"/>
        <v>4500</v>
      </c>
      <c r="H31" s="12">
        <f t="shared" si="2"/>
        <v>2.0089734145851471E-2</v>
      </c>
      <c r="I31" s="12">
        <f t="shared" si="6"/>
        <v>9.7826086956521738</v>
      </c>
      <c r="J31" s="12">
        <f t="shared" si="7"/>
        <v>26.470588235294116</v>
      </c>
    </row>
    <row r="32" spans="1:12" x14ac:dyDescent="0.25">
      <c r="A32" s="8" t="s">
        <v>24</v>
      </c>
      <c r="B32" s="13">
        <v>0</v>
      </c>
      <c r="C32" s="12">
        <f t="shared" si="3"/>
        <v>0</v>
      </c>
      <c r="D32" s="12">
        <f t="shared" si="4"/>
        <v>0</v>
      </c>
      <c r="E32" s="12">
        <f t="shared" si="5"/>
        <v>0</v>
      </c>
      <c r="G32" s="12">
        <f t="shared" si="9"/>
        <v>0</v>
      </c>
      <c r="H32" s="12">
        <f t="shared" si="2"/>
        <v>0</v>
      </c>
      <c r="I32" s="12">
        <f t="shared" si="6"/>
        <v>0</v>
      </c>
      <c r="J32" s="12">
        <f t="shared" si="7"/>
        <v>0</v>
      </c>
    </row>
    <row r="33" spans="1:10" x14ac:dyDescent="0.25">
      <c r="A33" s="8" t="s">
        <v>25</v>
      </c>
      <c r="B33" s="13">
        <v>12330</v>
      </c>
      <c r="C33" s="12">
        <f t="shared" si="3"/>
        <v>7.4727272727272726E-2</v>
      </c>
      <c r="D33" s="12">
        <f t="shared" si="4"/>
        <v>26.804347826086957</v>
      </c>
      <c r="E33" s="12">
        <f t="shared" si="5"/>
        <v>72.529411764705884</v>
      </c>
      <c r="G33" s="12">
        <f t="shared" si="9"/>
        <v>12330</v>
      </c>
      <c r="H33" s="12">
        <f t="shared" si="2"/>
        <v>5.5045871559633031E-2</v>
      </c>
      <c r="I33" s="12">
        <f t="shared" si="6"/>
        <v>26.804347826086957</v>
      </c>
      <c r="J33" s="12">
        <f t="shared" si="7"/>
        <v>72.529411764705884</v>
      </c>
    </row>
    <row r="34" spans="1:10" x14ac:dyDescent="0.25">
      <c r="A34" s="8" t="s">
        <v>26</v>
      </c>
      <c r="B34" s="13">
        <v>5939</v>
      </c>
      <c r="C34" s="12">
        <f t="shared" si="3"/>
        <v>3.5993939393939391E-2</v>
      </c>
      <c r="D34" s="12">
        <f t="shared" si="4"/>
        <v>12.910869565217391</v>
      </c>
      <c r="E34" s="12">
        <f t="shared" si="5"/>
        <v>34.935294117647061</v>
      </c>
      <c r="G34" s="12">
        <f t="shared" si="9"/>
        <v>5939</v>
      </c>
      <c r="H34" s="12">
        <f t="shared" si="2"/>
        <v>2.6513984687158196E-2</v>
      </c>
      <c r="I34" s="12">
        <f t="shared" si="6"/>
        <v>12.910869565217391</v>
      </c>
      <c r="J34" s="12">
        <f t="shared" si="7"/>
        <v>34.935294117647061</v>
      </c>
    </row>
    <row r="35" spans="1:10" x14ac:dyDescent="0.25">
      <c r="A35" s="8" t="s">
        <v>27</v>
      </c>
      <c r="B35" s="13">
        <v>1994</v>
      </c>
      <c r="C35" s="12">
        <f t="shared" si="3"/>
        <v>1.2084848484848485E-2</v>
      </c>
      <c r="D35" s="12">
        <f t="shared" si="4"/>
        <v>4.3347826086956518</v>
      </c>
      <c r="E35" s="12">
        <f t="shared" si="5"/>
        <v>11.729411764705882</v>
      </c>
      <c r="G35" s="12">
        <f t="shared" si="9"/>
        <v>1994</v>
      </c>
      <c r="H35" s="12">
        <f t="shared" si="2"/>
        <v>8.9019844192950743E-3</v>
      </c>
      <c r="I35" s="12">
        <f t="shared" si="6"/>
        <v>4.3347826086956518</v>
      </c>
      <c r="J35" s="12">
        <f t="shared" si="7"/>
        <v>11.729411764705882</v>
      </c>
    </row>
    <row r="36" spans="1:10" x14ac:dyDescent="0.25">
      <c r="A36" s="8" t="s">
        <v>28</v>
      </c>
      <c r="B36" s="13">
        <v>11340</v>
      </c>
      <c r="C36" s="12">
        <f t="shared" si="3"/>
        <v>6.8727272727272734E-2</v>
      </c>
      <c r="D36" s="12">
        <f t="shared" si="4"/>
        <v>24.652173913043477</v>
      </c>
      <c r="E36" s="12">
        <f t="shared" si="5"/>
        <v>66.705882352941174</v>
      </c>
      <c r="G36" s="12">
        <f t="shared" si="9"/>
        <v>11340</v>
      </c>
      <c r="H36" s="12">
        <f t="shared" si="2"/>
        <v>5.0626130047545702E-2</v>
      </c>
      <c r="I36" s="12">
        <f t="shared" si="6"/>
        <v>24.652173913043477</v>
      </c>
      <c r="J36" s="12">
        <f t="shared" si="7"/>
        <v>66.705882352941174</v>
      </c>
    </row>
    <row r="37" spans="1:10" x14ac:dyDescent="0.25">
      <c r="A37" s="8" t="s">
        <v>29</v>
      </c>
      <c r="B37" s="13">
        <v>5260</v>
      </c>
      <c r="C37" s="12">
        <f t="shared" si="3"/>
        <v>3.1878787878787881E-2</v>
      </c>
      <c r="D37" s="12">
        <f t="shared" si="4"/>
        <v>11.434782608695652</v>
      </c>
      <c r="E37" s="12">
        <f t="shared" si="5"/>
        <v>30.941176470588236</v>
      </c>
      <c r="G37" s="12">
        <f t="shared" si="9"/>
        <v>5260</v>
      </c>
      <c r="H37" s="12">
        <f t="shared" si="2"/>
        <v>2.3482667023817495E-2</v>
      </c>
      <c r="I37" s="12">
        <f t="shared" si="6"/>
        <v>11.434782608695652</v>
      </c>
      <c r="J37" s="12">
        <f t="shared" si="7"/>
        <v>30.941176470588236</v>
      </c>
    </row>
    <row r="38" spans="1:10" x14ac:dyDescent="0.25">
      <c r="A38" s="8" t="s">
        <v>30</v>
      </c>
      <c r="B38" s="13">
        <v>0</v>
      </c>
      <c r="C38" s="12">
        <f t="shared" si="3"/>
        <v>0</v>
      </c>
      <c r="D38" s="12">
        <f t="shared" si="4"/>
        <v>0</v>
      </c>
      <c r="E38" s="12">
        <f t="shared" si="5"/>
        <v>0</v>
      </c>
      <c r="G38" s="12">
        <f t="shared" si="9"/>
        <v>0</v>
      </c>
      <c r="H38" s="12">
        <f t="shared" si="2"/>
        <v>0</v>
      </c>
      <c r="I38" s="12">
        <f t="shared" si="6"/>
        <v>0</v>
      </c>
      <c r="J38" s="12">
        <f t="shared" si="7"/>
        <v>0</v>
      </c>
    </row>
    <row r="39" spans="1:10" ht="18" thickBot="1" x14ac:dyDescent="0.35">
      <c r="A39" s="10" t="s">
        <v>31</v>
      </c>
      <c r="B39" s="12">
        <f>SUM(B18:B38)-2*SUM(B26:B28)</f>
        <v>266674</v>
      </c>
      <c r="C39" s="12">
        <f t="shared" si="3"/>
        <v>1.6162060606060606</v>
      </c>
      <c r="D39" s="12">
        <f t="shared" si="4"/>
        <v>579.72608695652173</v>
      </c>
      <c r="E39" s="12">
        <f t="shared" si="5"/>
        <v>1568.6705882352942</v>
      </c>
      <c r="G39" s="12">
        <f>SUM(G18:G38)-2*SUM(G26:G28)</f>
        <v>298194</v>
      </c>
      <c r="H39" s="12">
        <f t="shared" si="2"/>
        <v>1.3312529297528963</v>
      </c>
      <c r="I39" s="12">
        <f t="shared" si="6"/>
        <v>648.24782608695648</v>
      </c>
      <c r="J39" s="12">
        <f t="shared" si="7"/>
        <v>1754.0823529411764</v>
      </c>
    </row>
    <row r="40" spans="1:10" ht="18.75" thickTop="1" thickBot="1" x14ac:dyDescent="0.35">
      <c r="A40" s="10" t="s">
        <v>32</v>
      </c>
      <c r="B40" s="12">
        <f>+B15-B39</f>
        <v>119341</v>
      </c>
      <c r="C40" s="12">
        <f t="shared" si="3"/>
        <v>0.72327878787878785</v>
      </c>
      <c r="D40" s="12">
        <f t="shared" si="4"/>
        <v>259.43695652173915</v>
      </c>
      <c r="E40" s="12">
        <f t="shared" si="5"/>
        <v>702.00588235294117</v>
      </c>
      <c r="G40" s="12">
        <f>+G15-G39</f>
        <v>201386.375</v>
      </c>
      <c r="H40" s="12">
        <f t="shared" si="2"/>
        <v>0.89906638541038864</v>
      </c>
      <c r="I40" s="12">
        <f t="shared" si="6"/>
        <v>437.79646739130436</v>
      </c>
      <c r="J40" s="12">
        <f t="shared" si="7"/>
        <v>1184.6257352941177</v>
      </c>
    </row>
    <row r="41" spans="1:10" ht="15.75" thickTop="1" x14ac:dyDescent="0.25"/>
  </sheetData>
  <mergeCells count="4">
    <mergeCell ref="F6:F8"/>
    <mergeCell ref="G7:J7"/>
    <mergeCell ref="G8:J8"/>
    <mergeCell ref="F4:F5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defaultRowHeight="15" x14ac:dyDescent="0.25"/>
  <cols>
    <col min="1" max="1" width="36.875" customWidth="1"/>
    <col min="2" max="2" width="13.25" customWidth="1"/>
    <col min="3" max="3" width="11.75" customWidth="1"/>
    <col min="4" max="4" width="13.25" customWidth="1"/>
    <col min="5" max="5" width="12.75" customWidth="1"/>
    <col min="6" max="6" width="11.125" bestFit="1" customWidth="1"/>
    <col min="7" max="7" width="12.75" bestFit="1" customWidth="1"/>
    <col min="10" max="10" width="11.125" customWidth="1"/>
  </cols>
  <sheetData>
    <row r="1" spans="1:12" ht="45" x14ac:dyDescent="0.25">
      <c r="A1" s="11" t="s">
        <v>46</v>
      </c>
      <c r="B1" s="1"/>
    </row>
    <row r="2" spans="1:12" x14ac:dyDescent="0.25">
      <c r="A2" s="11"/>
      <c r="B2" s="1"/>
    </row>
    <row r="3" spans="1:12" x14ac:dyDescent="0.25">
      <c r="A3" s="11" t="s">
        <v>36</v>
      </c>
      <c r="B3" s="14">
        <v>1040</v>
      </c>
    </row>
    <row r="4" spans="1:12" x14ac:dyDescent="0.25">
      <c r="A4" s="11" t="s">
        <v>37</v>
      </c>
      <c r="B4" s="14">
        <v>255</v>
      </c>
      <c r="F4" s="40" t="s">
        <v>50</v>
      </c>
      <c r="G4" s="21"/>
    </row>
    <row r="5" spans="1:12" x14ac:dyDescent="0.25">
      <c r="A5" s="11" t="s">
        <v>33</v>
      </c>
      <c r="B5" s="14">
        <v>542000</v>
      </c>
      <c r="F5" s="41"/>
      <c r="G5" s="22">
        <f>+B5+(0.6*270*B3)</f>
        <v>710480</v>
      </c>
    </row>
    <row r="6" spans="1:12" x14ac:dyDescent="0.25">
      <c r="A6" s="11" t="s">
        <v>34</v>
      </c>
      <c r="B6" s="14">
        <v>540</v>
      </c>
      <c r="F6" s="42" t="s">
        <v>103</v>
      </c>
      <c r="G6" s="2" t="s">
        <v>48</v>
      </c>
    </row>
    <row r="7" spans="1:12" ht="15" customHeight="1" x14ac:dyDescent="0.25">
      <c r="A7" s="11" t="s">
        <v>35</v>
      </c>
      <c r="B7" s="20">
        <f>+B3/B4</f>
        <v>4.0784313725490193</v>
      </c>
      <c r="F7" s="42"/>
      <c r="G7" s="39" t="s">
        <v>49</v>
      </c>
      <c r="H7" s="39"/>
      <c r="I7" s="39"/>
      <c r="J7" s="39"/>
    </row>
    <row r="8" spans="1:12" x14ac:dyDescent="0.25">
      <c r="A8" s="11"/>
      <c r="B8" s="1"/>
      <c r="F8" s="42"/>
      <c r="G8" s="39" t="s">
        <v>102</v>
      </c>
      <c r="H8" s="39"/>
      <c r="I8" s="39"/>
      <c r="J8" s="39"/>
    </row>
    <row r="10" spans="1:12" ht="18" thickBot="1" x14ac:dyDescent="0.35">
      <c r="A10" s="5" t="s">
        <v>1</v>
      </c>
      <c r="B10" s="5" t="s">
        <v>6</v>
      </c>
      <c r="C10" s="5" t="s">
        <v>7</v>
      </c>
      <c r="D10" s="5" t="s">
        <v>8</v>
      </c>
      <c r="E10" s="5" t="s">
        <v>9</v>
      </c>
      <c r="G10" s="5" t="s">
        <v>6</v>
      </c>
      <c r="H10" s="5" t="s">
        <v>7</v>
      </c>
      <c r="I10" s="5" t="s">
        <v>8</v>
      </c>
      <c r="J10" s="5" t="s">
        <v>9</v>
      </c>
    </row>
    <row r="11" spans="1:12" ht="16.5" thickTop="1" x14ac:dyDescent="0.25">
      <c r="A11" s="4" t="s">
        <v>2</v>
      </c>
      <c r="E11" s="3"/>
    </row>
    <row r="12" spans="1:12" x14ac:dyDescent="0.25">
      <c r="A12" s="6" t="s">
        <v>3</v>
      </c>
      <c r="B12" s="16">
        <f>+C12*B5</f>
        <v>2086700</v>
      </c>
      <c r="C12" s="13">
        <v>3.85</v>
      </c>
      <c r="D12" s="12">
        <f>+B12/B3</f>
        <v>2006.4423076923076</v>
      </c>
      <c r="E12" s="15">
        <f>+B12/B4</f>
        <v>8183.1372549019607</v>
      </c>
      <c r="G12" s="12">
        <f>+G5*H12</f>
        <v>2735348</v>
      </c>
      <c r="H12" s="13">
        <f>+C12</f>
        <v>3.85</v>
      </c>
      <c r="I12" s="12">
        <f>+G12/$B$3</f>
        <v>2630.1423076923079</v>
      </c>
      <c r="J12" s="12">
        <f>+G12/B4</f>
        <v>10726.854901960784</v>
      </c>
    </row>
    <row r="13" spans="1:12" x14ac:dyDescent="0.25">
      <c r="A13" s="6" t="s">
        <v>4</v>
      </c>
      <c r="B13" s="13">
        <v>433600</v>
      </c>
      <c r="C13" s="12">
        <f>+B13/$B$5</f>
        <v>0.8</v>
      </c>
      <c r="D13" s="12">
        <f>+B13/$B$3</f>
        <v>416.92307692307691</v>
      </c>
      <c r="E13" s="12">
        <f>+B13/$B$4</f>
        <v>1700.3921568627452</v>
      </c>
      <c r="G13" s="13">
        <f>+B13</f>
        <v>433600</v>
      </c>
      <c r="H13" s="12">
        <f>+G13/$G$5</f>
        <v>0.61029163382501972</v>
      </c>
      <c r="I13" s="12">
        <f>+G13/$B$3</f>
        <v>416.92307692307691</v>
      </c>
      <c r="J13" s="12">
        <f>+G13/$B$4</f>
        <v>1700.3921568627452</v>
      </c>
    </row>
    <row r="14" spans="1:12" x14ac:dyDescent="0.25">
      <c r="A14" s="6" t="s">
        <v>5</v>
      </c>
      <c r="B14" s="13">
        <v>0</v>
      </c>
      <c r="C14" s="12">
        <f>+B14/$B$5</f>
        <v>0</v>
      </c>
      <c r="D14" s="12">
        <f>+B14/$B$3</f>
        <v>0</v>
      </c>
      <c r="E14" s="12">
        <f>+B14/$B$4</f>
        <v>0</v>
      </c>
      <c r="G14" s="13">
        <f>+B14</f>
        <v>0</v>
      </c>
      <c r="H14" s="12">
        <f>+G14/$G$5</f>
        <v>0</v>
      </c>
      <c r="I14" s="12">
        <f>+G14/$B$3</f>
        <v>0</v>
      </c>
      <c r="J14" s="12">
        <f>+G14/$B$4</f>
        <v>0</v>
      </c>
    </row>
    <row r="15" spans="1:12" x14ac:dyDescent="0.25">
      <c r="A15" s="7" t="s">
        <v>10</v>
      </c>
      <c r="B15" s="12">
        <f>SUM(B12:B14)</f>
        <v>2520300</v>
      </c>
      <c r="C15" s="12">
        <f t="shared" ref="C15:E15" si="0">SUM(C12:C14)</f>
        <v>4.6500000000000004</v>
      </c>
      <c r="D15" s="12">
        <f t="shared" si="0"/>
        <v>2423.3653846153848</v>
      </c>
      <c r="E15" s="12">
        <f t="shared" si="0"/>
        <v>9883.5294117647063</v>
      </c>
      <c r="G15" s="12">
        <f>SUM(G12:G14)</f>
        <v>3168948</v>
      </c>
      <c r="H15" s="12">
        <f>+G15/$G$5</f>
        <v>4.4602916338250198</v>
      </c>
      <c r="I15" s="12">
        <f t="shared" ref="I15:J15" si="1">SUM(I12:I14)</f>
        <v>3047.0653846153846</v>
      </c>
      <c r="J15" s="12">
        <f t="shared" si="1"/>
        <v>12427.247058823528</v>
      </c>
    </row>
    <row r="16" spans="1:12" x14ac:dyDescent="0.25">
      <c r="L16" s="2"/>
    </row>
    <row r="17" spans="1:12" ht="18" thickBot="1" x14ac:dyDescent="0.35">
      <c r="A17" s="5" t="s">
        <v>11</v>
      </c>
      <c r="B17" s="5" t="s">
        <v>6</v>
      </c>
      <c r="C17" s="5" t="s">
        <v>7</v>
      </c>
      <c r="D17" s="5" t="s">
        <v>8</v>
      </c>
      <c r="E17" s="5" t="s">
        <v>9</v>
      </c>
    </row>
    <row r="18" spans="1:12" ht="15.75" thickTop="1" x14ac:dyDescent="0.25">
      <c r="A18" s="9" t="s">
        <v>12</v>
      </c>
      <c r="B18" s="13">
        <v>234000</v>
      </c>
      <c r="C18" s="12">
        <f>+B18/$B$5</f>
        <v>0.43173431734317341</v>
      </c>
      <c r="D18" s="12">
        <f>+B18/$B$3</f>
        <v>225</v>
      </c>
      <c r="E18" s="12">
        <f>+B18/$B$4</f>
        <v>917.64705882352939</v>
      </c>
      <c r="G18" s="12">
        <f>B18</f>
        <v>234000</v>
      </c>
      <c r="H18" s="12">
        <f t="shared" ref="H18:H41" si="2">+G18/$G$5</f>
        <v>0.32935480238711856</v>
      </c>
      <c r="I18" s="12">
        <f>+G18/$B$3</f>
        <v>225</v>
      </c>
      <c r="J18" s="12">
        <f>+G18/$B$4</f>
        <v>917.64705882352939</v>
      </c>
    </row>
    <row r="19" spans="1:12" x14ac:dyDescent="0.25">
      <c r="A19" s="9" t="s">
        <v>13</v>
      </c>
      <c r="B19" s="13">
        <v>107000</v>
      </c>
      <c r="C19" s="12">
        <f t="shared" ref="C19:C41" si="3">+B19/$B$5</f>
        <v>0.19741697416974169</v>
      </c>
      <c r="D19" s="12">
        <f t="shared" ref="D19:D41" si="4">+B19/$B$3</f>
        <v>102.88461538461539</v>
      </c>
      <c r="E19" s="12">
        <f t="shared" ref="E19:E41" si="5">+B19/$B$4</f>
        <v>419.60784313725492</v>
      </c>
      <c r="G19" s="18">
        <f>B19-(B3*300*0.1)</f>
        <v>75800</v>
      </c>
      <c r="H19" s="12">
        <f t="shared" si="2"/>
        <v>0.1066884359869384</v>
      </c>
      <c r="I19" s="12">
        <f t="shared" ref="I19:I41" si="6">+G19/$B$3</f>
        <v>72.884615384615387</v>
      </c>
      <c r="J19" s="12">
        <f t="shared" ref="J19:J41" si="7">+G19/$B$4</f>
        <v>297.25490196078431</v>
      </c>
      <c r="L19" t="s">
        <v>41</v>
      </c>
    </row>
    <row r="20" spans="1:12" x14ac:dyDescent="0.25">
      <c r="A20" s="9" t="s">
        <v>14</v>
      </c>
      <c r="B20" s="13">
        <v>31340</v>
      </c>
      <c r="C20" s="12">
        <f t="shared" si="3"/>
        <v>5.7822878228782286E-2</v>
      </c>
      <c r="D20" s="12">
        <f t="shared" si="4"/>
        <v>30.134615384615383</v>
      </c>
      <c r="E20" s="12">
        <f t="shared" si="5"/>
        <v>122.90196078431373</v>
      </c>
      <c r="G20" s="12">
        <f t="shared" ref="G20:G23" si="8">B20</f>
        <v>31340</v>
      </c>
      <c r="H20" s="12">
        <f t="shared" si="2"/>
        <v>4.4111023533385883E-2</v>
      </c>
      <c r="I20" s="12">
        <f t="shared" si="6"/>
        <v>30.134615384615383</v>
      </c>
      <c r="J20" s="12">
        <f t="shared" si="7"/>
        <v>122.90196078431373</v>
      </c>
    </row>
    <row r="21" spans="1:12" x14ac:dyDescent="0.25">
      <c r="A21" s="9" t="s">
        <v>15</v>
      </c>
      <c r="B21" s="13">
        <v>29750</v>
      </c>
      <c r="C21" s="12">
        <f t="shared" si="3"/>
        <v>5.4889298892988929E-2</v>
      </c>
      <c r="D21" s="12">
        <f t="shared" si="4"/>
        <v>28.60576923076923</v>
      </c>
      <c r="E21" s="12">
        <f t="shared" si="5"/>
        <v>116.66666666666667</v>
      </c>
      <c r="G21" s="12">
        <f t="shared" si="8"/>
        <v>29750</v>
      </c>
      <c r="H21" s="12">
        <f t="shared" si="2"/>
        <v>4.1873099876140074E-2</v>
      </c>
      <c r="I21" s="12">
        <f t="shared" si="6"/>
        <v>28.60576923076923</v>
      </c>
      <c r="J21" s="12">
        <f t="shared" si="7"/>
        <v>116.66666666666667</v>
      </c>
    </row>
    <row r="22" spans="1:12" x14ac:dyDescent="0.25">
      <c r="A22" s="9" t="s">
        <v>16</v>
      </c>
      <c r="B22" s="13">
        <v>50556</v>
      </c>
      <c r="C22" s="12">
        <f t="shared" si="3"/>
        <v>9.3276752767527671E-2</v>
      </c>
      <c r="D22" s="12">
        <f t="shared" si="4"/>
        <v>48.611538461538458</v>
      </c>
      <c r="E22" s="12">
        <f t="shared" si="5"/>
        <v>198.25882352941176</v>
      </c>
      <c r="G22" s="12">
        <f t="shared" si="8"/>
        <v>50556</v>
      </c>
      <c r="H22" s="12">
        <f t="shared" si="2"/>
        <v>7.1157527305483623E-2</v>
      </c>
      <c r="I22" s="12">
        <f t="shared" si="6"/>
        <v>48.611538461538458</v>
      </c>
      <c r="J22" s="12">
        <f t="shared" si="7"/>
        <v>198.25882352941176</v>
      </c>
    </row>
    <row r="23" spans="1:12" x14ac:dyDescent="0.25">
      <c r="A23" s="9" t="s">
        <v>17</v>
      </c>
      <c r="B23" s="13">
        <v>229690</v>
      </c>
      <c r="C23" s="12">
        <f t="shared" si="3"/>
        <v>0.42378228782287825</v>
      </c>
      <c r="D23" s="12">
        <f t="shared" si="4"/>
        <v>220.85576923076923</v>
      </c>
      <c r="E23" s="12">
        <f t="shared" si="5"/>
        <v>900.74509803921569</v>
      </c>
      <c r="G23" s="12">
        <f t="shared" si="8"/>
        <v>229690</v>
      </c>
      <c r="H23" s="12">
        <f t="shared" si="2"/>
        <v>0.32328848102691138</v>
      </c>
      <c r="I23" s="12">
        <f t="shared" si="6"/>
        <v>220.85576923076923</v>
      </c>
      <c r="J23" s="12">
        <f t="shared" si="7"/>
        <v>900.74509803921569</v>
      </c>
    </row>
    <row r="24" spans="1:12" x14ac:dyDescent="0.25">
      <c r="A24" s="9" t="s">
        <v>18</v>
      </c>
      <c r="B24" s="13">
        <v>826595</v>
      </c>
      <c r="C24" s="12">
        <f t="shared" si="3"/>
        <v>1.5250830258302583</v>
      </c>
      <c r="D24" s="12">
        <f t="shared" si="4"/>
        <v>794.80288461538464</v>
      </c>
      <c r="E24" s="12">
        <f t="shared" si="5"/>
        <v>3241.5490196078431</v>
      </c>
      <c r="G24" s="12">
        <f>+B24-G25</f>
        <v>514595</v>
      </c>
      <c r="H24" s="12">
        <f t="shared" si="2"/>
        <v>0.7242920279247832</v>
      </c>
      <c r="I24" s="12">
        <f t="shared" si="6"/>
        <v>494.80288461538464</v>
      </c>
      <c r="J24" s="12">
        <f t="shared" si="7"/>
        <v>2018.0196078431372</v>
      </c>
    </row>
    <row r="25" spans="1:12" x14ac:dyDescent="0.25">
      <c r="A25" s="9" t="s">
        <v>104</v>
      </c>
      <c r="B25" s="12"/>
      <c r="C25" s="12"/>
      <c r="D25" s="12"/>
      <c r="E25" s="12"/>
      <c r="G25" s="16">
        <f>+B3*300</f>
        <v>312000</v>
      </c>
      <c r="H25" s="12">
        <f t="shared" si="2"/>
        <v>0.43913973651615806</v>
      </c>
      <c r="I25" s="12">
        <f t="shared" si="6"/>
        <v>300</v>
      </c>
      <c r="J25" s="12">
        <f t="shared" si="7"/>
        <v>1223.5294117647059</v>
      </c>
      <c r="L25" t="s">
        <v>105</v>
      </c>
    </row>
    <row r="26" spans="1:12" x14ac:dyDescent="0.25">
      <c r="A26" s="6" t="s">
        <v>19</v>
      </c>
      <c r="B26" s="13">
        <v>204000</v>
      </c>
      <c r="C26" s="12">
        <f t="shared" si="3"/>
        <v>0.37638376383763839</v>
      </c>
      <c r="D26" s="12">
        <f t="shared" si="4"/>
        <v>196.15384615384616</v>
      </c>
      <c r="E26" s="12">
        <f t="shared" si="5"/>
        <v>800</v>
      </c>
      <c r="G26" s="12">
        <f t="shared" ref="G26:G39" si="9">B26</f>
        <v>204000</v>
      </c>
      <c r="H26" s="12">
        <f t="shared" si="2"/>
        <v>0.28712982772210338</v>
      </c>
      <c r="I26" s="12">
        <f t="shared" si="6"/>
        <v>196.15384615384616</v>
      </c>
      <c r="J26" s="12">
        <f t="shared" si="7"/>
        <v>800</v>
      </c>
    </row>
    <row r="27" spans="1:12" x14ac:dyDescent="0.25">
      <c r="A27" s="6" t="s">
        <v>47</v>
      </c>
      <c r="B27" s="13">
        <v>0</v>
      </c>
      <c r="C27" s="12">
        <f t="shared" si="3"/>
        <v>0</v>
      </c>
      <c r="D27" s="12">
        <f t="shared" si="4"/>
        <v>0</v>
      </c>
      <c r="E27" s="12">
        <f t="shared" si="5"/>
        <v>0</v>
      </c>
      <c r="G27" s="12">
        <f t="shared" si="9"/>
        <v>0</v>
      </c>
      <c r="H27" s="12">
        <f t="shared" si="2"/>
        <v>0</v>
      </c>
      <c r="I27" s="12">
        <f t="shared" si="6"/>
        <v>0</v>
      </c>
      <c r="J27" s="12">
        <f t="shared" si="7"/>
        <v>0</v>
      </c>
    </row>
    <row r="28" spans="1:12" x14ac:dyDescent="0.25">
      <c r="A28" s="6" t="s">
        <v>44</v>
      </c>
      <c r="B28" s="13">
        <v>34900</v>
      </c>
      <c r="C28" s="12">
        <f t="shared" si="3"/>
        <v>6.4391143911439117E-2</v>
      </c>
      <c r="D28" s="12">
        <f t="shared" si="4"/>
        <v>33.557692307692307</v>
      </c>
      <c r="E28" s="12">
        <f t="shared" si="5"/>
        <v>136.86274509803923</v>
      </c>
      <c r="G28" s="12">
        <f t="shared" ref="G28" si="10">B28</f>
        <v>34900</v>
      </c>
      <c r="H28" s="12">
        <f t="shared" si="2"/>
        <v>4.9121720526967685E-2</v>
      </c>
      <c r="I28" s="12">
        <f t="shared" ref="I28" si="11">+G28/$B$3</f>
        <v>33.557692307692307</v>
      </c>
      <c r="J28" s="12">
        <f t="shared" ref="J28" si="12">+G28/$B$4</f>
        <v>136.86274509803923</v>
      </c>
    </row>
    <row r="29" spans="1:12" x14ac:dyDescent="0.25">
      <c r="A29" s="6" t="s">
        <v>21</v>
      </c>
      <c r="B29" s="13">
        <v>0</v>
      </c>
      <c r="C29" s="12">
        <f t="shared" si="3"/>
        <v>0</v>
      </c>
      <c r="D29" s="12">
        <f t="shared" si="4"/>
        <v>0</v>
      </c>
      <c r="E29" s="12">
        <f t="shared" si="5"/>
        <v>0</v>
      </c>
      <c r="G29" s="12">
        <f t="shared" si="9"/>
        <v>0</v>
      </c>
      <c r="H29" s="12">
        <f t="shared" si="2"/>
        <v>0</v>
      </c>
      <c r="I29" s="12">
        <f t="shared" si="6"/>
        <v>0</v>
      </c>
      <c r="J29" s="12">
        <f t="shared" si="7"/>
        <v>0</v>
      </c>
    </row>
    <row r="30" spans="1:12" x14ac:dyDescent="0.25">
      <c r="A30" s="8" t="s">
        <v>10</v>
      </c>
      <c r="B30" s="13">
        <f>SUM(B26:B29)</f>
        <v>238900</v>
      </c>
      <c r="C30" s="12">
        <f t="shared" si="3"/>
        <v>0.44077490774907752</v>
      </c>
      <c r="D30" s="12">
        <f t="shared" si="4"/>
        <v>229.71153846153845</v>
      </c>
      <c r="E30" s="12">
        <f t="shared" si="5"/>
        <v>936.86274509803923</v>
      </c>
      <c r="G30" s="12">
        <f t="shared" si="9"/>
        <v>238900</v>
      </c>
      <c r="H30" s="12">
        <f t="shared" si="2"/>
        <v>0.33625154824907105</v>
      </c>
      <c r="I30" s="12">
        <f t="shared" si="6"/>
        <v>229.71153846153845</v>
      </c>
      <c r="J30" s="12">
        <f t="shared" si="7"/>
        <v>936.86274509803923</v>
      </c>
    </row>
    <row r="31" spans="1:12" x14ac:dyDescent="0.25">
      <c r="A31" s="8" t="s">
        <v>22</v>
      </c>
      <c r="B31" s="13">
        <v>65479</v>
      </c>
      <c r="C31" s="12">
        <f t="shared" si="3"/>
        <v>0.12080996309963099</v>
      </c>
      <c r="D31" s="12">
        <f t="shared" si="4"/>
        <v>62.960576923076921</v>
      </c>
      <c r="E31" s="12">
        <f t="shared" si="5"/>
        <v>256.78039215686272</v>
      </c>
      <c r="G31" s="12">
        <f t="shared" si="9"/>
        <v>65479</v>
      </c>
      <c r="H31" s="12">
        <f t="shared" si="2"/>
        <v>9.2161637203017677E-2</v>
      </c>
      <c r="I31" s="12">
        <f t="shared" si="6"/>
        <v>62.960576923076921</v>
      </c>
      <c r="J31" s="12">
        <f t="shared" si="7"/>
        <v>256.78039215686272</v>
      </c>
    </row>
    <row r="32" spans="1:12" x14ac:dyDescent="0.25">
      <c r="A32" s="8" t="s">
        <v>23</v>
      </c>
      <c r="B32" s="13">
        <v>0</v>
      </c>
      <c r="C32" s="12">
        <f t="shared" si="3"/>
        <v>0</v>
      </c>
      <c r="D32" s="12">
        <f t="shared" si="4"/>
        <v>0</v>
      </c>
      <c r="E32" s="12">
        <f t="shared" si="5"/>
        <v>0</v>
      </c>
      <c r="G32" s="12">
        <f t="shared" si="9"/>
        <v>0</v>
      </c>
      <c r="H32" s="12">
        <f t="shared" si="2"/>
        <v>0</v>
      </c>
      <c r="I32" s="12">
        <f t="shared" si="6"/>
        <v>0</v>
      </c>
      <c r="J32" s="12">
        <f t="shared" si="7"/>
        <v>0</v>
      </c>
    </row>
    <row r="33" spans="1:10" x14ac:dyDescent="0.25">
      <c r="A33" s="8" t="s">
        <v>24</v>
      </c>
      <c r="B33" s="13">
        <v>0</v>
      </c>
      <c r="C33" s="12">
        <f t="shared" si="3"/>
        <v>0</v>
      </c>
      <c r="D33" s="12">
        <f t="shared" si="4"/>
        <v>0</v>
      </c>
      <c r="E33" s="12">
        <f t="shared" si="5"/>
        <v>0</v>
      </c>
      <c r="G33" s="12">
        <f t="shared" si="9"/>
        <v>0</v>
      </c>
      <c r="H33" s="12">
        <f t="shared" si="2"/>
        <v>0</v>
      </c>
      <c r="I33" s="12">
        <f t="shared" si="6"/>
        <v>0</v>
      </c>
      <c r="J33" s="12">
        <f t="shared" si="7"/>
        <v>0</v>
      </c>
    </row>
    <row r="34" spans="1:10" x14ac:dyDescent="0.25">
      <c r="A34" s="8" t="s">
        <v>25</v>
      </c>
      <c r="B34" s="13">
        <v>76652</v>
      </c>
      <c r="C34" s="12">
        <f t="shared" si="3"/>
        <v>0.14142435424354244</v>
      </c>
      <c r="D34" s="12">
        <f t="shared" si="4"/>
        <v>73.703846153846158</v>
      </c>
      <c r="E34" s="12">
        <f t="shared" si="5"/>
        <v>300.59607843137258</v>
      </c>
      <c r="G34" s="12">
        <f t="shared" si="9"/>
        <v>76652</v>
      </c>
      <c r="H34" s="12">
        <f t="shared" si="2"/>
        <v>0.10788762526742483</v>
      </c>
      <c r="I34" s="12">
        <f t="shared" si="6"/>
        <v>73.703846153846158</v>
      </c>
      <c r="J34" s="12">
        <f t="shared" si="7"/>
        <v>300.59607843137258</v>
      </c>
    </row>
    <row r="35" spans="1:10" x14ac:dyDescent="0.25">
      <c r="A35" s="8" t="s">
        <v>26</v>
      </c>
      <c r="B35" s="13">
        <v>45250</v>
      </c>
      <c r="C35" s="12">
        <f t="shared" si="3"/>
        <v>8.3487084870848702E-2</v>
      </c>
      <c r="D35" s="12">
        <f t="shared" si="4"/>
        <v>43.509615384615387</v>
      </c>
      <c r="E35" s="12">
        <f t="shared" si="5"/>
        <v>177.45098039215685</v>
      </c>
      <c r="G35" s="12">
        <f t="shared" si="9"/>
        <v>45250</v>
      </c>
      <c r="H35" s="12">
        <f t="shared" si="2"/>
        <v>6.3689336786397932E-2</v>
      </c>
      <c r="I35" s="12">
        <f t="shared" si="6"/>
        <v>43.509615384615387</v>
      </c>
      <c r="J35" s="12">
        <f t="shared" si="7"/>
        <v>177.45098039215685</v>
      </c>
    </row>
    <row r="36" spans="1:10" x14ac:dyDescent="0.25">
      <c r="A36" s="8" t="s">
        <v>27</v>
      </c>
      <c r="B36" s="13">
        <v>2825</v>
      </c>
      <c r="C36" s="12">
        <f t="shared" si="3"/>
        <v>5.2121771217712174E-3</v>
      </c>
      <c r="D36" s="12">
        <f t="shared" si="4"/>
        <v>2.7163461538461537</v>
      </c>
      <c r="E36" s="12">
        <f t="shared" si="5"/>
        <v>11.078431372549019</v>
      </c>
      <c r="G36" s="12">
        <f t="shared" si="9"/>
        <v>2825</v>
      </c>
      <c r="H36" s="12">
        <f t="shared" si="2"/>
        <v>3.9761851142889318E-3</v>
      </c>
      <c r="I36" s="12">
        <f t="shared" si="6"/>
        <v>2.7163461538461537</v>
      </c>
      <c r="J36" s="12">
        <f t="shared" si="7"/>
        <v>11.078431372549019</v>
      </c>
    </row>
    <row r="37" spans="1:10" x14ac:dyDescent="0.25">
      <c r="A37" s="8" t="s">
        <v>28</v>
      </c>
      <c r="B37" s="13">
        <v>69845</v>
      </c>
      <c r="C37" s="12">
        <f t="shared" si="3"/>
        <v>0.12886531365313653</v>
      </c>
      <c r="D37" s="12">
        <f t="shared" si="4"/>
        <v>67.15865384615384</v>
      </c>
      <c r="E37" s="12">
        <f t="shared" si="5"/>
        <v>273.9019607843137</v>
      </c>
      <c r="G37" s="12">
        <f t="shared" si="9"/>
        <v>69845</v>
      </c>
      <c r="H37" s="12">
        <f t="shared" si="2"/>
        <v>9.8306778515932891E-2</v>
      </c>
      <c r="I37" s="12">
        <f t="shared" si="6"/>
        <v>67.15865384615384</v>
      </c>
      <c r="J37" s="12">
        <f t="shared" si="7"/>
        <v>273.9019607843137</v>
      </c>
    </row>
    <row r="38" spans="1:10" x14ac:dyDescent="0.25">
      <c r="A38" s="8" t="s">
        <v>29</v>
      </c>
      <c r="B38" s="13">
        <v>17800</v>
      </c>
      <c r="C38" s="12">
        <f t="shared" si="3"/>
        <v>3.2841328413284132E-2</v>
      </c>
      <c r="D38" s="12">
        <f t="shared" si="4"/>
        <v>17.115384615384617</v>
      </c>
      <c r="E38" s="12">
        <f t="shared" si="5"/>
        <v>69.803921568627445</v>
      </c>
      <c r="G38" s="12">
        <f t="shared" si="9"/>
        <v>17800</v>
      </c>
      <c r="H38" s="12">
        <f t="shared" si="2"/>
        <v>2.5053484967909018E-2</v>
      </c>
      <c r="I38" s="12">
        <f t="shared" si="6"/>
        <v>17.115384615384617</v>
      </c>
      <c r="J38" s="12">
        <f t="shared" si="7"/>
        <v>69.803921568627445</v>
      </c>
    </row>
    <row r="39" spans="1:10" x14ac:dyDescent="0.25">
      <c r="A39" s="8" t="s">
        <v>30</v>
      </c>
      <c r="B39" s="13">
        <v>0</v>
      </c>
      <c r="C39" s="12">
        <f t="shared" si="3"/>
        <v>0</v>
      </c>
      <c r="D39" s="12">
        <f t="shared" si="4"/>
        <v>0</v>
      </c>
      <c r="E39" s="12">
        <f t="shared" si="5"/>
        <v>0</v>
      </c>
      <c r="G39" s="12">
        <f t="shared" si="9"/>
        <v>0</v>
      </c>
      <c r="H39" s="12">
        <f t="shared" si="2"/>
        <v>0</v>
      </c>
      <c r="I39" s="12">
        <f t="shared" si="6"/>
        <v>0</v>
      </c>
      <c r="J39" s="12">
        <f t="shared" si="7"/>
        <v>0</v>
      </c>
    </row>
    <row r="40" spans="1:10" ht="18" thickBot="1" x14ac:dyDescent="0.35">
      <c r="A40" s="10" t="s">
        <v>31</v>
      </c>
      <c r="B40" s="12">
        <f>SUM(B18:B39)-2*SUM(B26:B29)</f>
        <v>1786782</v>
      </c>
      <c r="C40" s="12">
        <f t="shared" si="3"/>
        <v>3.2966457564575644</v>
      </c>
      <c r="D40" s="12">
        <f t="shared" si="4"/>
        <v>1718.0596153846154</v>
      </c>
      <c r="E40" s="12">
        <f t="shared" si="5"/>
        <v>7006.9882352941177</v>
      </c>
      <c r="G40" s="12">
        <f>SUM(G18:G39)-2*SUM(G26:G29)</f>
        <v>1755582</v>
      </c>
      <c r="H40" s="12">
        <f t="shared" si="2"/>
        <v>2.4709801824118904</v>
      </c>
      <c r="I40" s="12">
        <f t="shared" si="6"/>
        <v>1688.0596153846154</v>
      </c>
      <c r="J40" s="12">
        <f t="shared" si="7"/>
        <v>6884.6352941176474</v>
      </c>
    </row>
    <row r="41" spans="1:10" ht="18.75" thickTop="1" thickBot="1" x14ac:dyDescent="0.35">
      <c r="A41" s="10" t="s">
        <v>32</v>
      </c>
      <c r="B41" s="12">
        <f>+B15-B40</f>
        <v>733518</v>
      </c>
      <c r="C41" s="12">
        <f t="shared" si="3"/>
        <v>1.3533542435424355</v>
      </c>
      <c r="D41" s="12">
        <f t="shared" si="4"/>
        <v>705.30576923076922</v>
      </c>
      <c r="E41" s="12">
        <f t="shared" si="5"/>
        <v>2876.5411764705882</v>
      </c>
      <c r="G41" s="12">
        <f>+G15-G40</f>
        <v>1413366</v>
      </c>
      <c r="H41" s="12">
        <f t="shared" si="2"/>
        <v>1.9893114514131292</v>
      </c>
      <c r="I41" s="12">
        <f t="shared" si="6"/>
        <v>1359.0057692307691</v>
      </c>
      <c r="J41" s="12">
        <f t="shared" si="7"/>
        <v>5542.6117647058827</v>
      </c>
    </row>
    <row r="42" spans="1:10" ht="15.75" thickTop="1" x14ac:dyDescent="0.25"/>
  </sheetData>
  <mergeCells count="4">
    <mergeCell ref="F6:F8"/>
    <mergeCell ref="G7:J7"/>
    <mergeCell ref="G8:J8"/>
    <mergeCell ref="F4:F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defaultRowHeight="15" x14ac:dyDescent="0.25"/>
  <cols>
    <col min="1" max="1" width="36.875" customWidth="1"/>
    <col min="2" max="2" width="13.25" customWidth="1"/>
    <col min="3" max="3" width="11.75" customWidth="1"/>
    <col min="4" max="4" width="13.25" customWidth="1"/>
    <col min="5" max="5" width="12.75" customWidth="1"/>
    <col min="6" max="6" width="11.125" bestFit="1" customWidth="1"/>
    <col min="7" max="7" width="12.75" bestFit="1" customWidth="1"/>
  </cols>
  <sheetData>
    <row r="1" spans="1:12" ht="60" x14ac:dyDescent="0.25">
      <c r="A1" s="11" t="s">
        <v>51</v>
      </c>
      <c r="B1" s="1"/>
    </row>
    <row r="2" spans="1:12" x14ac:dyDescent="0.25">
      <c r="A2" s="11"/>
      <c r="B2" s="1"/>
    </row>
    <row r="3" spans="1:12" x14ac:dyDescent="0.25">
      <c r="A3" s="11" t="s">
        <v>36</v>
      </c>
      <c r="B3" s="14">
        <v>205</v>
      </c>
    </row>
    <row r="4" spans="1:12" x14ac:dyDescent="0.25">
      <c r="A4" s="11" t="s">
        <v>37</v>
      </c>
      <c r="B4" s="14">
        <v>73</v>
      </c>
      <c r="F4" s="40" t="s">
        <v>50</v>
      </c>
      <c r="G4" s="21"/>
    </row>
    <row r="5" spans="1:12" x14ac:dyDescent="0.25">
      <c r="A5" s="11" t="s">
        <v>33</v>
      </c>
      <c r="B5" s="14">
        <v>82000</v>
      </c>
      <c r="F5" s="41"/>
      <c r="G5" s="22">
        <f>+B5+(0.475*270*B3)</f>
        <v>108291.25</v>
      </c>
    </row>
    <row r="6" spans="1:12" x14ac:dyDescent="0.25">
      <c r="A6" s="11" t="s">
        <v>34</v>
      </c>
      <c r="B6" s="14">
        <f>+B5/B3</f>
        <v>400</v>
      </c>
      <c r="F6" s="42" t="s">
        <v>103</v>
      </c>
      <c r="G6" s="2" t="s">
        <v>40</v>
      </c>
    </row>
    <row r="7" spans="1:12" ht="15" customHeight="1" x14ac:dyDescent="0.25">
      <c r="A7" s="11" t="s">
        <v>35</v>
      </c>
      <c r="B7" s="20">
        <f>+B3/B4</f>
        <v>2.8082191780821919</v>
      </c>
      <c r="F7" s="42"/>
      <c r="G7" s="39" t="s">
        <v>39</v>
      </c>
      <c r="H7" s="39"/>
      <c r="I7" s="39"/>
      <c r="J7" s="39"/>
    </row>
    <row r="8" spans="1:12" x14ac:dyDescent="0.25">
      <c r="A8" s="11"/>
      <c r="B8" s="1"/>
      <c r="F8" s="42"/>
      <c r="G8" s="39" t="s">
        <v>102</v>
      </c>
      <c r="H8" s="39"/>
      <c r="I8" s="39"/>
      <c r="J8" s="39"/>
    </row>
    <row r="10" spans="1:12" ht="18" thickBot="1" x14ac:dyDescent="0.35">
      <c r="A10" s="5" t="s">
        <v>1</v>
      </c>
      <c r="B10" s="5" t="s">
        <v>6</v>
      </c>
      <c r="C10" s="5" t="s">
        <v>7</v>
      </c>
      <c r="D10" s="5" t="s">
        <v>8</v>
      </c>
      <c r="E10" s="5" t="s">
        <v>9</v>
      </c>
      <c r="G10" s="5" t="s">
        <v>6</v>
      </c>
      <c r="H10" s="5" t="s">
        <v>7</v>
      </c>
      <c r="I10" s="5" t="s">
        <v>8</v>
      </c>
      <c r="J10" s="5" t="s">
        <v>9</v>
      </c>
    </row>
    <row r="11" spans="1:12" ht="16.5" thickTop="1" x14ac:dyDescent="0.25">
      <c r="A11" s="4" t="s">
        <v>2</v>
      </c>
      <c r="E11" s="3"/>
    </row>
    <row r="12" spans="1:12" x14ac:dyDescent="0.25">
      <c r="A12" s="6" t="s">
        <v>3</v>
      </c>
      <c r="B12" s="16">
        <f>+C12*B5</f>
        <v>315700</v>
      </c>
      <c r="C12" s="13">
        <v>3.85</v>
      </c>
      <c r="D12" s="12">
        <f>+B12/B3</f>
        <v>1540</v>
      </c>
      <c r="E12" s="15">
        <f>+B12/B4</f>
        <v>4324.6575342465758</v>
      </c>
      <c r="G12" s="12">
        <f>+G5*H12</f>
        <v>416921.3125</v>
      </c>
      <c r="H12" s="13">
        <f>+C12</f>
        <v>3.85</v>
      </c>
      <c r="I12" s="12">
        <f>+G12/$B$3</f>
        <v>2033.7625</v>
      </c>
      <c r="J12" s="12">
        <f>+G12/B4</f>
        <v>5711.2508561643835</v>
      </c>
    </row>
    <row r="13" spans="1:12" x14ac:dyDescent="0.25">
      <c r="A13" s="6" t="s">
        <v>4</v>
      </c>
      <c r="B13" s="13">
        <v>50000</v>
      </c>
      <c r="C13" s="12">
        <f>+B13/$B$5</f>
        <v>0.6097560975609756</v>
      </c>
      <c r="D13" s="12">
        <f>+B13/$B$3</f>
        <v>243.90243902439025</v>
      </c>
      <c r="E13" s="12">
        <f>+B13/$B$4</f>
        <v>684.93150684931504</v>
      </c>
      <c r="G13" s="13">
        <f>+B13</f>
        <v>50000</v>
      </c>
      <c r="H13" s="12">
        <f>+G13/$G$5</f>
        <v>0.46171782115360199</v>
      </c>
      <c r="I13" s="12">
        <f>+G13/$B$3</f>
        <v>243.90243902439025</v>
      </c>
      <c r="J13" s="12">
        <f>+G13/$B$4</f>
        <v>684.93150684931504</v>
      </c>
    </row>
    <row r="14" spans="1:12" x14ac:dyDescent="0.25">
      <c r="A14" s="6" t="s">
        <v>5</v>
      </c>
      <c r="B14" s="13">
        <v>0</v>
      </c>
      <c r="C14" s="12">
        <f>+B14/$B$5</f>
        <v>0</v>
      </c>
      <c r="D14" s="12">
        <f>+B14/$B$3</f>
        <v>0</v>
      </c>
      <c r="E14" s="12">
        <f>+B14/$B$4</f>
        <v>0</v>
      </c>
      <c r="G14" s="13">
        <f>+B14</f>
        <v>0</v>
      </c>
      <c r="H14" s="12">
        <f>+G14/$G$5</f>
        <v>0</v>
      </c>
      <c r="I14" s="12">
        <f>+G14/$B$3</f>
        <v>0</v>
      </c>
      <c r="J14" s="12">
        <f>+G14/$B$4</f>
        <v>0</v>
      </c>
    </row>
    <row r="15" spans="1:12" x14ac:dyDescent="0.25">
      <c r="A15" s="7" t="s">
        <v>10</v>
      </c>
      <c r="B15" s="12">
        <f>SUM(B12:B14)</f>
        <v>365700</v>
      </c>
      <c r="C15" s="12">
        <f t="shared" ref="C15:E15" si="0">SUM(C12:C14)</f>
        <v>4.4597560975609758</v>
      </c>
      <c r="D15" s="12">
        <f t="shared" si="0"/>
        <v>1783.9024390243903</v>
      </c>
      <c r="E15" s="12">
        <f t="shared" si="0"/>
        <v>5009.5890410958909</v>
      </c>
      <c r="G15" s="12">
        <f>SUM(G12:G14)</f>
        <v>466921.3125</v>
      </c>
      <c r="H15" s="12">
        <f t="shared" ref="H15:J15" si="1">SUM(H12:H14)</f>
        <v>4.3117178211536018</v>
      </c>
      <c r="I15" s="12">
        <f t="shared" si="1"/>
        <v>2277.6649390243902</v>
      </c>
      <c r="J15" s="12">
        <f t="shared" si="1"/>
        <v>6396.1823630136987</v>
      </c>
    </row>
    <row r="16" spans="1:12" x14ac:dyDescent="0.25">
      <c r="L16" s="2"/>
    </row>
    <row r="17" spans="1:12" ht="18" thickBot="1" x14ac:dyDescent="0.35">
      <c r="A17" s="5" t="s">
        <v>11</v>
      </c>
      <c r="B17" s="5" t="s">
        <v>6</v>
      </c>
      <c r="C17" s="5" t="s">
        <v>7</v>
      </c>
      <c r="D17" s="5" t="s">
        <v>8</v>
      </c>
      <c r="E17" s="5" t="s">
        <v>9</v>
      </c>
    </row>
    <row r="18" spans="1:12" ht="15.75" thickTop="1" x14ac:dyDescent="0.25">
      <c r="A18" s="9" t="s">
        <v>12</v>
      </c>
      <c r="B18" s="13">
        <v>9000</v>
      </c>
      <c r="C18" s="12">
        <f>+B18/$B$5</f>
        <v>0.10975609756097561</v>
      </c>
      <c r="D18" s="12">
        <f>+B18/$B$3</f>
        <v>43.902439024390247</v>
      </c>
      <c r="E18" s="12">
        <f>+B18/$B$4</f>
        <v>123.28767123287672</v>
      </c>
      <c r="G18" s="12">
        <f>B18</f>
        <v>9000</v>
      </c>
      <c r="H18" s="12">
        <f t="shared" ref="H18:H41" si="2">+G18/$G$5</f>
        <v>8.3109207807648355E-2</v>
      </c>
      <c r="I18" s="12">
        <f>+G18/$B$3</f>
        <v>43.902439024390247</v>
      </c>
      <c r="J18" s="12">
        <f>+G18/$B$4</f>
        <v>123.28767123287672</v>
      </c>
    </row>
    <row r="19" spans="1:12" x14ac:dyDescent="0.25">
      <c r="A19" s="9" t="s">
        <v>13</v>
      </c>
      <c r="B19" s="13">
        <v>16250</v>
      </c>
      <c r="C19" s="12">
        <f t="shared" ref="C19:C41" si="3">+B19/$B$5</f>
        <v>0.19817073170731708</v>
      </c>
      <c r="D19" s="12">
        <f t="shared" ref="D19:D41" si="4">+B19/$B$3</f>
        <v>79.268292682926827</v>
      </c>
      <c r="E19" s="12">
        <f t="shared" ref="E19:E41" si="5">+B19/$B$4</f>
        <v>222.60273972602741</v>
      </c>
      <c r="G19" s="18">
        <f>B19-(B3*270*0.1)</f>
        <v>10715</v>
      </c>
      <c r="H19" s="12">
        <f t="shared" si="2"/>
        <v>9.8946129073216899E-2</v>
      </c>
      <c r="I19" s="12">
        <f t="shared" ref="I19:I41" si="6">+G19/$B$3</f>
        <v>52.268292682926827</v>
      </c>
      <c r="J19" s="12">
        <f t="shared" ref="J19:J41" si="7">+G19/$B$4</f>
        <v>146.78082191780823</v>
      </c>
      <c r="L19" t="s">
        <v>41</v>
      </c>
    </row>
    <row r="20" spans="1:12" x14ac:dyDescent="0.25">
      <c r="A20" s="9" t="s">
        <v>14</v>
      </c>
      <c r="B20" s="13">
        <v>18000</v>
      </c>
      <c r="C20" s="12">
        <f t="shared" si="3"/>
        <v>0.21951219512195122</v>
      </c>
      <c r="D20" s="12">
        <f t="shared" si="4"/>
        <v>87.804878048780495</v>
      </c>
      <c r="E20" s="12">
        <f t="shared" si="5"/>
        <v>246.57534246575344</v>
      </c>
      <c r="G20" s="12">
        <f t="shared" ref="G20:G23" si="8">B20</f>
        <v>18000</v>
      </c>
      <c r="H20" s="12">
        <f t="shared" si="2"/>
        <v>0.16621841561529671</v>
      </c>
      <c r="I20" s="12">
        <f t="shared" si="6"/>
        <v>87.804878048780495</v>
      </c>
      <c r="J20" s="12">
        <f t="shared" si="7"/>
        <v>246.57534246575344</v>
      </c>
    </row>
    <row r="21" spans="1:12" x14ac:dyDescent="0.25">
      <c r="A21" s="9" t="s">
        <v>15</v>
      </c>
      <c r="B21" s="13">
        <v>10000</v>
      </c>
      <c r="C21" s="12">
        <f t="shared" si="3"/>
        <v>0.12195121951219512</v>
      </c>
      <c r="D21" s="12">
        <f t="shared" si="4"/>
        <v>48.780487804878049</v>
      </c>
      <c r="E21" s="12">
        <f t="shared" si="5"/>
        <v>136.98630136986301</v>
      </c>
      <c r="G21" s="12">
        <f t="shared" si="8"/>
        <v>10000</v>
      </c>
      <c r="H21" s="12">
        <f t="shared" si="2"/>
        <v>9.234356423072039E-2</v>
      </c>
      <c r="I21" s="12">
        <f t="shared" si="6"/>
        <v>48.780487804878049</v>
      </c>
      <c r="J21" s="12">
        <f t="shared" si="7"/>
        <v>136.98630136986301</v>
      </c>
    </row>
    <row r="22" spans="1:12" x14ac:dyDescent="0.25">
      <c r="A22" s="9" t="s">
        <v>16</v>
      </c>
      <c r="B22" s="13">
        <v>10500</v>
      </c>
      <c r="C22" s="12">
        <f t="shared" si="3"/>
        <v>0.12804878048780488</v>
      </c>
      <c r="D22" s="12">
        <f t="shared" si="4"/>
        <v>51.219512195121951</v>
      </c>
      <c r="E22" s="12">
        <f t="shared" si="5"/>
        <v>143.83561643835617</v>
      </c>
      <c r="G22" s="12">
        <f t="shared" si="8"/>
        <v>10500</v>
      </c>
      <c r="H22" s="12">
        <f t="shared" si="2"/>
        <v>9.6960742442256415E-2</v>
      </c>
      <c r="I22" s="12">
        <f t="shared" si="6"/>
        <v>51.219512195121951</v>
      </c>
      <c r="J22" s="12">
        <f t="shared" si="7"/>
        <v>143.83561643835617</v>
      </c>
    </row>
    <row r="23" spans="1:12" x14ac:dyDescent="0.25">
      <c r="A23" s="9" t="s">
        <v>17</v>
      </c>
      <c r="B23" s="13">
        <v>26000</v>
      </c>
      <c r="C23" s="12">
        <f t="shared" si="3"/>
        <v>0.31707317073170732</v>
      </c>
      <c r="D23" s="12">
        <f t="shared" si="4"/>
        <v>126.82926829268293</v>
      </c>
      <c r="E23" s="12">
        <f t="shared" si="5"/>
        <v>356.16438356164383</v>
      </c>
      <c r="G23" s="12">
        <f t="shared" si="8"/>
        <v>26000</v>
      </c>
      <c r="H23" s="12">
        <f t="shared" si="2"/>
        <v>0.24009326699987302</v>
      </c>
      <c r="I23" s="12">
        <f t="shared" si="6"/>
        <v>126.82926829268293</v>
      </c>
      <c r="J23" s="12">
        <f t="shared" si="7"/>
        <v>356.16438356164383</v>
      </c>
    </row>
    <row r="24" spans="1:12" x14ac:dyDescent="0.25">
      <c r="A24" s="9" t="s">
        <v>18</v>
      </c>
      <c r="B24" s="13">
        <v>49000</v>
      </c>
      <c r="C24" s="12">
        <f t="shared" si="3"/>
        <v>0.59756097560975607</v>
      </c>
      <c r="D24" s="12">
        <f t="shared" si="4"/>
        <v>239.02439024390245</v>
      </c>
      <c r="E24" s="12">
        <f t="shared" si="5"/>
        <v>671.23287671232879</v>
      </c>
      <c r="G24" s="12">
        <v>25000</v>
      </c>
      <c r="H24" s="12">
        <f t="shared" si="2"/>
        <v>0.230858910576801</v>
      </c>
      <c r="I24" s="12">
        <f t="shared" si="6"/>
        <v>121.95121951219512</v>
      </c>
      <c r="J24" s="12">
        <f t="shared" si="7"/>
        <v>342.46575342465752</v>
      </c>
      <c r="L24" t="s">
        <v>52</v>
      </c>
    </row>
    <row r="25" spans="1:12" x14ac:dyDescent="0.25">
      <c r="A25" s="9" t="s">
        <v>104</v>
      </c>
      <c r="B25" s="12"/>
      <c r="C25" s="12"/>
      <c r="D25" s="12"/>
      <c r="E25" s="12"/>
      <c r="G25" s="16">
        <f>+B3*300</f>
        <v>61500</v>
      </c>
      <c r="H25" s="12">
        <f t="shared" si="2"/>
        <v>0.56791292001893046</v>
      </c>
      <c r="I25" s="12">
        <f t="shared" si="6"/>
        <v>300</v>
      </c>
      <c r="J25" s="12">
        <f t="shared" si="7"/>
        <v>842.46575342465758</v>
      </c>
      <c r="L25" t="s">
        <v>53</v>
      </c>
    </row>
    <row r="26" spans="1:12" x14ac:dyDescent="0.25">
      <c r="A26" s="6" t="s">
        <v>19</v>
      </c>
      <c r="B26" s="13">
        <v>37000</v>
      </c>
      <c r="C26" s="12">
        <f t="shared" si="3"/>
        <v>0.45121951219512196</v>
      </c>
      <c r="D26" s="12">
        <f t="shared" si="4"/>
        <v>180.48780487804879</v>
      </c>
      <c r="E26" s="12">
        <f t="shared" si="5"/>
        <v>506.84931506849313</v>
      </c>
      <c r="G26" s="12">
        <f t="shared" ref="G26:G39" si="9">B26</f>
        <v>37000</v>
      </c>
      <c r="H26" s="12">
        <f t="shared" si="2"/>
        <v>0.34167118765366544</v>
      </c>
      <c r="I26" s="12">
        <f t="shared" si="6"/>
        <v>180.48780487804879</v>
      </c>
      <c r="J26" s="12">
        <f t="shared" si="7"/>
        <v>506.84931506849313</v>
      </c>
    </row>
    <row r="27" spans="1:12" x14ac:dyDescent="0.25">
      <c r="A27" s="6" t="s">
        <v>44</v>
      </c>
      <c r="B27" s="13">
        <v>3500</v>
      </c>
      <c r="C27" s="12">
        <f t="shared" si="3"/>
        <v>4.2682926829268296E-2</v>
      </c>
      <c r="D27" s="12">
        <f t="shared" si="4"/>
        <v>17.073170731707318</v>
      </c>
      <c r="E27" s="12">
        <f t="shared" si="5"/>
        <v>47.945205479452056</v>
      </c>
      <c r="G27" s="12">
        <f t="shared" ref="G27" si="10">B27</f>
        <v>3500</v>
      </c>
      <c r="H27" s="12">
        <f t="shared" si="2"/>
        <v>3.2320247480752136E-2</v>
      </c>
      <c r="I27" s="12">
        <f t="shared" ref="I27" si="11">+G27/$B$3</f>
        <v>17.073170731707318</v>
      </c>
      <c r="J27" s="12">
        <f t="shared" ref="J27" si="12">+G27/$B$4</f>
        <v>47.945205479452056</v>
      </c>
    </row>
    <row r="28" spans="1:12" x14ac:dyDescent="0.25">
      <c r="A28" s="6" t="s">
        <v>20</v>
      </c>
      <c r="B28" s="13">
        <v>0</v>
      </c>
      <c r="C28" s="12">
        <f t="shared" si="3"/>
        <v>0</v>
      </c>
      <c r="D28" s="12">
        <f t="shared" si="4"/>
        <v>0</v>
      </c>
      <c r="E28" s="12">
        <f t="shared" si="5"/>
        <v>0</v>
      </c>
      <c r="G28" s="12">
        <f t="shared" si="9"/>
        <v>0</v>
      </c>
      <c r="H28" s="12">
        <f t="shared" si="2"/>
        <v>0</v>
      </c>
      <c r="I28" s="12">
        <f t="shared" si="6"/>
        <v>0</v>
      </c>
      <c r="J28" s="12">
        <f t="shared" si="7"/>
        <v>0</v>
      </c>
    </row>
    <row r="29" spans="1:12" x14ac:dyDescent="0.25">
      <c r="A29" s="6" t="s">
        <v>21</v>
      </c>
      <c r="B29" s="13">
        <v>0</v>
      </c>
      <c r="C29" s="12">
        <f t="shared" si="3"/>
        <v>0</v>
      </c>
      <c r="D29" s="12">
        <f t="shared" si="4"/>
        <v>0</v>
      </c>
      <c r="E29" s="12">
        <f t="shared" si="5"/>
        <v>0</v>
      </c>
      <c r="G29" s="12">
        <f t="shared" si="9"/>
        <v>0</v>
      </c>
      <c r="H29" s="12">
        <f t="shared" si="2"/>
        <v>0</v>
      </c>
      <c r="I29" s="12">
        <f t="shared" si="6"/>
        <v>0</v>
      </c>
      <c r="J29" s="12">
        <f t="shared" si="7"/>
        <v>0</v>
      </c>
    </row>
    <row r="30" spans="1:12" x14ac:dyDescent="0.25">
      <c r="A30" s="8" t="s">
        <v>10</v>
      </c>
      <c r="B30" s="13">
        <f>SUM(B26:B29)</f>
        <v>40500</v>
      </c>
      <c r="C30" s="12">
        <f t="shared" si="3"/>
        <v>0.49390243902439024</v>
      </c>
      <c r="D30" s="12">
        <f t="shared" si="4"/>
        <v>197.5609756097561</v>
      </c>
      <c r="E30" s="12">
        <f t="shared" si="5"/>
        <v>554.79452054794524</v>
      </c>
      <c r="G30" s="12">
        <f t="shared" si="9"/>
        <v>40500</v>
      </c>
      <c r="H30" s="12">
        <f t="shared" si="2"/>
        <v>0.37399143513441763</v>
      </c>
      <c r="I30" s="12">
        <f t="shared" si="6"/>
        <v>197.5609756097561</v>
      </c>
      <c r="J30" s="12">
        <f t="shared" si="7"/>
        <v>554.79452054794524</v>
      </c>
    </row>
    <row r="31" spans="1:12" x14ac:dyDescent="0.25">
      <c r="A31" s="8" t="s">
        <v>22</v>
      </c>
      <c r="B31" s="13">
        <v>23000</v>
      </c>
      <c r="C31" s="12">
        <f t="shared" si="3"/>
        <v>0.28048780487804881</v>
      </c>
      <c r="D31" s="12">
        <f t="shared" si="4"/>
        <v>112.19512195121951</v>
      </c>
      <c r="E31" s="12">
        <f t="shared" si="5"/>
        <v>315.06849315068496</v>
      </c>
      <c r="G31" s="12">
        <f t="shared" si="9"/>
        <v>23000</v>
      </c>
      <c r="H31" s="12">
        <f t="shared" si="2"/>
        <v>0.2123901977306569</v>
      </c>
      <c r="I31" s="12">
        <f t="shared" si="6"/>
        <v>112.19512195121951</v>
      </c>
      <c r="J31" s="12">
        <f t="shared" si="7"/>
        <v>315.06849315068496</v>
      </c>
    </row>
    <row r="32" spans="1:12" x14ac:dyDescent="0.25">
      <c r="A32" s="8" t="s">
        <v>23</v>
      </c>
      <c r="B32" s="13">
        <v>6200</v>
      </c>
      <c r="C32" s="12">
        <f t="shared" si="3"/>
        <v>7.5609756097560973E-2</v>
      </c>
      <c r="D32" s="12">
        <f t="shared" si="4"/>
        <v>30.243902439024389</v>
      </c>
      <c r="E32" s="12">
        <f t="shared" si="5"/>
        <v>84.93150684931507</v>
      </c>
      <c r="G32" s="12">
        <f t="shared" si="9"/>
        <v>6200</v>
      </c>
      <c r="H32" s="12">
        <f t="shared" si="2"/>
        <v>5.7253009823046645E-2</v>
      </c>
      <c r="I32" s="12">
        <f t="shared" si="6"/>
        <v>30.243902439024389</v>
      </c>
      <c r="J32" s="12">
        <f t="shared" si="7"/>
        <v>84.93150684931507</v>
      </c>
    </row>
    <row r="33" spans="1:10" x14ac:dyDescent="0.25">
      <c r="A33" s="8" t="s">
        <v>24</v>
      </c>
      <c r="B33" s="13">
        <v>1100</v>
      </c>
      <c r="C33" s="12">
        <f t="shared" si="3"/>
        <v>1.3414634146341463E-2</v>
      </c>
      <c r="D33" s="12">
        <f t="shared" si="4"/>
        <v>5.3658536585365857</v>
      </c>
      <c r="E33" s="12">
        <f t="shared" si="5"/>
        <v>15.068493150684931</v>
      </c>
      <c r="G33" s="12">
        <f t="shared" si="9"/>
        <v>1100</v>
      </c>
      <c r="H33" s="12">
        <f t="shared" si="2"/>
        <v>1.0157792065379244E-2</v>
      </c>
      <c r="I33" s="12">
        <f t="shared" si="6"/>
        <v>5.3658536585365857</v>
      </c>
      <c r="J33" s="12">
        <f t="shared" si="7"/>
        <v>15.068493150684931</v>
      </c>
    </row>
    <row r="34" spans="1:10" x14ac:dyDescent="0.25">
      <c r="A34" s="8" t="s">
        <v>25</v>
      </c>
      <c r="B34" s="13">
        <v>11500</v>
      </c>
      <c r="C34" s="12">
        <f t="shared" si="3"/>
        <v>0.1402439024390244</v>
      </c>
      <c r="D34" s="12">
        <f t="shared" si="4"/>
        <v>56.097560975609753</v>
      </c>
      <c r="E34" s="12">
        <f t="shared" si="5"/>
        <v>157.53424657534248</v>
      </c>
      <c r="G34" s="12">
        <f t="shared" si="9"/>
        <v>11500</v>
      </c>
      <c r="H34" s="12">
        <f t="shared" si="2"/>
        <v>0.10619509886532845</v>
      </c>
      <c r="I34" s="12">
        <f t="shared" si="6"/>
        <v>56.097560975609753</v>
      </c>
      <c r="J34" s="12">
        <f t="shared" si="7"/>
        <v>157.53424657534248</v>
      </c>
    </row>
    <row r="35" spans="1:10" x14ac:dyDescent="0.25">
      <c r="A35" s="8" t="s">
        <v>26</v>
      </c>
      <c r="B35" s="13">
        <v>15000</v>
      </c>
      <c r="C35" s="12">
        <f t="shared" si="3"/>
        <v>0.18292682926829268</v>
      </c>
      <c r="D35" s="12">
        <f t="shared" si="4"/>
        <v>73.170731707317074</v>
      </c>
      <c r="E35" s="12">
        <f t="shared" si="5"/>
        <v>205.47945205479451</v>
      </c>
      <c r="G35" s="12">
        <f t="shared" si="9"/>
        <v>15000</v>
      </c>
      <c r="H35" s="12">
        <f t="shared" si="2"/>
        <v>0.13851534634608059</v>
      </c>
      <c r="I35" s="12">
        <f t="shared" si="6"/>
        <v>73.170731707317074</v>
      </c>
      <c r="J35" s="12">
        <f t="shared" si="7"/>
        <v>205.47945205479451</v>
      </c>
    </row>
    <row r="36" spans="1:10" x14ac:dyDescent="0.25">
      <c r="A36" s="8" t="s">
        <v>27</v>
      </c>
      <c r="B36" s="13">
        <v>3500</v>
      </c>
      <c r="C36" s="12">
        <f t="shared" si="3"/>
        <v>4.2682926829268296E-2</v>
      </c>
      <c r="D36" s="12">
        <f t="shared" si="4"/>
        <v>17.073170731707318</v>
      </c>
      <c r="E36" s="12">
        <f t="shared" si="5"/>
        <v>47.945205479452056</v>
      </c>
      <c r="G36" s="12">
        <f t="shared" si="9"/>
        <v>3500</v>
      </c>
      <c r="H36" s="12">
        <f t="shared" si="2"/>
        <v>3.2320247480752136E-2</v>
      </c>
      <c r="I36" s="12">
        <f t="shared" si="6"/>
        <v>17.073170731707318</v>
      </c>
      <c r="J36" s="12">
        <f t="shared" si="7"/>
        <v>47.945205479452056</v>
      </c>
    </row>
    <row r="37" spans="1:10" x14ac:dyDescent="0.25">
      <c r="A37" s="8" t="s">
        <v>28</v>
      </c>
      <c r="B37" s="13">
        <v>9100</v>
      </c>
      <c r="C37" s="12">
        <f t="shared" si="3"/>
        <v>0.11097560975609756</v>
      </c>
      <c r="D37" s="12">
        <f t="shared" si="4"/>
        <v>44.390243902439025</v>
      </c>
      <c r="E37" s="12">
        <f t="shared" si="5"/>
        <v>124.65753424657534</v>
      </c>
      <c r="G37" s="12">
        <f t="shared" si="9"/>
        <v>9100</v>
      </c>
      <c r="H37" s="12">
        <f t="shared" si="2"/>
        <v>8.4032643449955563E-2</v>
      </c>
      <c r="I37" s="12">
        <f t="shared" si="6"/>
        <v>44.390243902439025</v>
      </c>
      <c r="J37" s="12">
        <f t="shared" si="7"/>
        <v>124.65753424657534</v>
      </c>
    </row>
    <row r="38" spans="1:10" x14ac:dyDescent="0.25">
      <c r="A38" s="8" t="s">
        <v>29</v>
      </c>
      <c r="B38" s="13">
        <v>12000</v>
      </c>
      <c r="C38" s="12">
        <f t="shared" si="3"/>
        <v>0.14634146341463414</v>
      </c>
      <c r="D38" s="12">
        <f t="shared" si="4"/>
        <v>58.536585365853661</v>
      </c>
      <c r="E38" s="12">
        <f t="shared" si="5"/>
        <v>164.38356164383561</v>
      </c>
      <c r="G38" s="12">
        <f t="shared" si="9"/>
        <v>12000</v>
      </c>
      <c r="H38" s="12">
        <f t="shared" si="2"/>
        <v>0.11081227707686447</v>
      </c>
      <c r="I38" s="12">
        <f t="shared" si="6"/>
        <v>58.536585365853661</v>
      </c>
      <c r="J38" s="12">
        <f t="shared" si="7"/>
        <v>164.38356164383561</v>
      </c>
    </row>
    <row r="39" spans="1:10" x14ac:dyDescent="0.25">
      <c r="A39" s="8" t="s">
        <v>30</v>
      </c>
      <c r="B39" s="13">
        <v>8000</v>
      </c>
      <c r="C39" s="12">
        <f t="shared" si="3"/>
        <v>9.7560975609756101E-2</v>
      </c>
      <c r="D39" s="12">
        <f t="shared" si="4"/>
        <v>39.024390243902438</v>
      </c>
      <c r="E39" s="12">
        <f t="shared" si="5"/>
        <v>109.58904109589041</v>
      </c>
      <c r="G39" s="12">
        <f t="shared" si="9"/>
        <v>8000</v>
      </c>
      <c r="H39" s="12">
        <f t="shared" si="2"/>
        <v>7.3874851384576321E-2</v>
      </c>
      <c r="I39" s="12">
        <f t="shared" si="6"/>
        <v>39.024390243902438</v>
      </c>
      <c r="J39" s="12">
        <f t="shared" si="7"/>
        <v>109.58904109589041</v>
      </c>
    </row>
    <row r="40" spans="1:10" ht="18" thickBot="1" x14ac:dyDescent="0.35">
      <c r="A40" s="10" t="s">
        <v>31</v>
      </c>
      <c r="B40" s="12">
        <f>SUM(B18:B39)-2*SUM(B26:B29)</f>
        <v>228150</v>
      </c>
      <c r="C40" s="12">
        <f t="shared" si="3"/>
        <v>2.7823170731707316</v>
      </c>
      <c r="D40" s="12">
        <f t="shared" si="4"/>
        <v>1112.9268292682927</v>
      </c>
      <c r="E40" s="12">
        <f t="shared" si="5"/>
        <v>3125.3424657534247</v>
      </c>
      <c r="G40" s="12">
        <f>SUM(G18:G39)-2*SUM(G26:G29)</f>
        <v>260115</v>
      </c>
      <c r="H40" s="12">
        <f t="shared" si="2"/>
        <v>2.4019946209873835</v>
      </c>
      <c r="I40" s="12">
        <f t="shared" si="6"/>
        <v>1268.8536585365853</v>
      </c>
      <c r="J40" s="12">
        <f t="shared" si="7"/>
        <v>3563.2191780821918</v>
      </c>
    </row>
    <row r="41" spans="1:10" ht="18.75" thickTop="1" thickBot="1" x14ac:dyDescent="0.35">
      <c r="A41" s="10" t="s">
        <v>32</v>
      </c>
      <c r="B41" s="12">
        <f>+B15-B40</f>
        <v>137550</v>
      </c>
      <c r="C41" s="12">
        <f t="shared" si="3"/>
        <v>1.6774390243902439</v>
      </c>
      <c r="D41" s="12">
        <f t="shared" si="4"/>
        <v>670.97560975609758</v>
      </c>
      <c r="E41" s="12">
        <f t="shared" si="5"/>
        <v>1884.2465753424658</v>
      </c>
      <c r="G41" s="12">
        <f>+G15-G40</f>
        <v>206806.3125</v>
      </c>
      <c r="H41" s="12">
        <f t="shared" si="2"/>
        <v>1.9097232001662183</v>
      </c>
      <c r="I41" s="12">
        <f t="shared" si="6"/>
        <v>1008.8112804878049</v>
      </c>
      <c r="J41" s="12">
        <f t="shared" si="7"/>
        <v>2832.9631849315069</v>
      </c>
    </row>
    <row r="42" spans="1:10" ht="15.75" thickTop="1" x14ac:dyDescent="0.25"/>
  </sheetData>
  <mergeCells count="4">
    <mergeCell ref="F4:F5"/>
    <mergeCell ref="F6:F8"/>
    <mergeCell ref="G7:J7"/>
    <mergeCell ref="G8:J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/>
  </sheetViews>
  <sheetFormatPr defaultRowHeight="15" x14ac:dyDescent="0.25"/>
  <cols>
    <col min="1" max="1" width="36.875" customWidth="1"/>
    <col min="2" max="2" width="13.25" customWidth="1"/>
    <col min="3" max="3" width="11.75" customWidth="1"/>
    <col min="4" max="4" width="13.25" customWidth="1"/>
    <col min="5" max="5" width="12.75" customWidth="1"/>
    <col min="6" max="6" width="11.125" bestFit="1" customWidth="1"/>
    <col min="7" max="7" width="12.75" bestFit="1" customWidth="1"/>
  </cols>
  <sheetData>
    <row r="1" spans="1:12" ht="90" x14ac:dyDescent="0.25">
      <c r="A1" s="11" t="s">
        <v>54</v>
      </c>
      <c r="B1" s="1"/>
    </row>
    <row r="2" spans="1:12" x14ac:dyDescent="0.25">
      <c r="A2" s="11"/>
      <c r="B2" s="1"/>
    </row>
    <row r="3" spans="1:12" x14ac:dyDescent="0.25">
      <c r="A3" s="11" t="s">
        <v>36</v>
      </c>
      <c r="B3" s="14">
        <v>2060</v>
      </c>
    </row>
    <row r="4" spans="1:12" x14ac:dyDescent="0.25">
      <c r="A4" s="11" t="s">
        <v>37</v>
      </c>
      <c r="B4" s="14">
        <v>587</v>
      </c>
      <c r="F4" s="40" t="s">
        <v>50</v>
      </c>
      <c r="G4" s="21"/>
    </row>
    <row r="5" spans="1:12" x14ac:dyDescent="0.25">
      <c r="A5" s="11" t="s">
        <v>33</v>
      </c>
      <c r="B5" s="14">
        <v>910000</v>
      </c>
      <c r="F5" s="41"/>
      <c r="G5" s="22">
        <f>+B5+(0.475*270*B3)</f>
        <v>1174195</v>
      </c>
    </row>
    <row r="6" spans="1:12" x14ac:dyDescent="0.25">
      <c r="A6" s="11" t="s">
        <v>34</v>
      </c>
      <c r="B6" s="19">
        <f>+B5/B3</f>
        <v>441.747572815534</v>
      </c>
      <c r="F6" s="42" t="s">
        <v>103</v>
      </c>
      <c r="G6" s="2" t="s">
        <v>40</v>
      </c>
    </row>
    <row r="7" spans="1:12" ht="15" customHeight="1" x14ac:dyDescent="0.25">
      <c r="A7" s="11" t="s">
        <v>35</v>
      </c>
      <c r="B7" s="20">
        <f>+B3/B4</f>
        <v>3.5093696763202726</v>
      </c>
      <c r="F7" s="42"/>
      <c r="G7" s="39" t="s">
        <v>39</v>
      </c>
      <c r="H7" s="39"/>
      <c r="I7" s="39"/>
      <c r="J7" s="39"/>
    </row>
    <row r="8" spans="1:12" x14ac:dyDescent="0.25">
      <c r="A8" s="11"/>
      <c r="B8" s="1"/>
      <c r="F8" s="42"/>
      <c r="G8" s="39" t="s">
        <v>102</v>
      </c>
      <c r="H8" s="39"/>
      <c r="I8" s="39"/>
      <c r="J8" s="39"/>
    </row>
    <row r="10" spans="1:12" ht="18" thickBot="1" x14ac:dyDescent="0.35">
      <c r="A10" s="5" t="s">
        <v>1</v>
      </c>
      <c r="B10" s="5" t="s">
        <v>6</v>
      </c>
      <c r="C10" s="5" t="s">
        <v>7</v>
      </c>
      <c r="D10" s="5" t="s">
        <v>8</v>
      </c>
      <c r="E10" s="5" t="s">
        <v>9</v>
      </c>
      <c r="G10" s="5" t="s">
        <v>6</v>
      </c>
      <c r="H10" s="5" t="s">
        <v>7</v>
      </c>
      <c r="I10" s="5" t="s">
        <v>8</v>
      </c>
      <c r="J10" s="5" t="s">
        <v>9</v>
      </c>
    </row>
    <row r="11" spans="1:12" ht="16.5" thickTop="1" x14ac:dyDescent="0.25">
      <c r="A11" s="4" t="s">
        <v>2</v>
      </c>
      <c r="E11" s="3"/>
    </row>
    <row r="12" spans="1:12" x14ac:dyDescent="0.25">
      <c r="A12" s="6" t="s">
        <v>3</v>
      </c>
      <c r="B12" s="16">
        <f>+C12*B5</f>
        <v>3503500</v>
      </c>
      <c r="C12" s="13">
        <v>3.85</v>
      </c>
      <c r="D12" s="12">
        <f>+B12/B3</f>
        <v>1700.7281553398059</v>
      </c>
      <c r="E12" s="15">
        <f>+B12/B4</f>
        <v>5968.4838160136287</v>
      </c>
      <c r="G12" s="12">
        <f>+G5*C12</f>
        <v>4520650.75</v>
      </c>
      <c r="H12" s="13">
        <f>+C12</f>
        <v>3.85</v>
      </c>
      <c r="I12" s="12">
        <f>+G12/$B$3</f>
        <v>2194.4906553398059</v>
      </c>
      <c r="J12" s="12">
        <f>+G12/B4</f>
        <v>7701.2789608177172</v>
      </c>
    </row>
    <row r="13" spans="1:12" x14ac:dyDescent="0.25">
      <c r="A13" s="6" t="s">
        <v>4</v>
      </c>
      <c r="B13" s="13">
        <v>423679</v>
      </c>
      <c r="C13" s="12">
        <f>+B13/$B$5</f>
        <v>0.46558131868131869</v>
      </c>
      <c r="D13" s="12">
        <f>+B13/$B$3</f>
        <v>205.66941747572815</v>
      </c>
      <c r="E13" s="12">
        <f>+B13/$B$4</f>
        <v>721.77001703577514</v>
      </c>
      <c r="G13" s="13">
        <f>+B13</f>
        <v>423679</v>
      </c>
      <c r="H13" s="12">
        <f>+G13/$G$5</f>
        <v>0.36082507590306551</v>
      </c>
      <c r="I13" s="12">
        <f>+G13/$B$3</f>
        <v>205.66941747572815</v>
      </c>
      <c r="J13" s="12">
        <f>+G13/$B$4</f>
        <v>721.77001703577514</v>
      </c>
    </row>
    <row r="14" spans="1:12" x14ac:dyDescent="0.25">
      <c r="A14" s="6" t="s">
        <v>5</v>
      </c>
      <c r="B14" s="13">
        <v>0</v>
      </c>
      <c r="C14" s="12">
        <f>+B14/$B$5</f>
        <v>0</v>
      </c>
      <c r="D14" s="12">
        <f>+B14/$B$3</f>
        <v>0</v>
      </c>
      <c r="E14" s="12">
        <f>+B14/$B$4</f>
        <v>0</v>
      </c>
      <c r="G14" s="13">
        <f>+B14</f>
        <v>0</v>
      </c>
      <c r="H14" s="12">
        <f>+G14/$G$5</f>
        <v>0</v>
      </c>
      <c r="I14" s="12">
        <f>+G14/$B$3</f>
        <v>0</v>
      </c>
      <c r="J14" s="12">
        <f>+G14/$B$4</f>
        <v>0</v>
      </c>
    </row>
    <row r="15" spans="1:12" x14ac:dyDescent="0.25">
      <c r="A15" s="7" t="s">
        <v>10</v>
      </c>
      <c r="B15" s="12">
        <f>SUM(B12:B14)</f>
        <v>3927179</v>
      </c>
      <c r="C15" s="12">
        <f t="shared" ref="C15:E15" si="0">SUM(C12:C14)</f>
        <v>4.3155813186813186</v>
      </c>
      <c r="D15" s="12">
        <f t="shared" si="0"/>
        <v>1906.397572815534</v>
      </c>
      <c r="E15" s="12">
        <f t="shared" si="0"/>
        <v>6690.2538330494035</v>
      </c>
      <c r="G15" s="12">
        <f>SUM(G12:G14)</f>
        <v>4944329.75</v>
      </c>
      <c r="H15" s="12">
        <f t="shared" ref="H15:J15" si="1">SUM(H12:H14)</f>
        <v>4.2108250759030659</v>
      </c>
      <c r="I15" s="12">
        <f t="shared" si="1"/>
        <v>2400.160072815534</v>
      </c>
      <c r="J15" s="12">
        <f t="shared" si="1"/>
        <v>8423.048977853492</v>
      </c>
    </row>
    <row r="16" spans="1:12" x14ac:dyDescent="0.25">
      <c r="L16" s="2"/>
    </row>
    <row r="17" spans="1:12" ht="18" thickBot="1" x14ac:dyDescent="0.35">
      <c r="A17" s="5" t="s">
        <v>11</v>
      </c>
      <c r="B17" s="5" t="s">
        <v>6</v>
      </c>
      <c r="C17" s="5" t="s">
        <v>7</v>
      </c>
      <c r="D17" s="5" t="s">
        <v>8</v>
      </c>
      <c r="E17" s="5" t="s">
        <v>9</v>
      </c>
    </row>
    <row r="18" spans="1:12" ht="15.75" thickTop="1" x14ac:dyDescent="0.25">
      <c r="A18" s="9" t="s">
        <v>12</v>
      </c>
      <c r="B18" s="13">
        <v>773500</v>
      </c>
      <c r="C18" s="12">
        <f>+B18/$B$5</f>
        <v>0.85</v>
      </c>
      <c r="D18" s="12">
        <f>+B18/$B$3</f>
        <v>375.48543689320388</v>
      </c>
      <c r="E18" s="12">
        <f>+B18/$B$4</f>
        <v>1317.717206132879</v>
      </c>
      <c r="G18" s="12">
        <f>B18</f>
        <v>773500</v>
      </c>
      <c r="H18" s="12">
        <f t="shared" ref="H18:H42" si="2">+G18/$G$5</f>
        <v>0.65874918561227058</v>
      </c>
      <c r="I18" s="12">
        <f>+G18/$B$3</f>
        <v>375.48543689320388</v>
      </c>
      <c r="J18" s="12">
        <f>+G18/$B$4</f>
        <v>1317.717206132879</v>
      </c>
    </row>
    <row r="19" spans="1:12" x14ac:dyDescent="0.25">
      <c r="A19" s="9" t="s">
        <v>13</v>
      </c>
      <c r="B19" s="13">
        <v>121502</v>
      </c>
      <c r="C19" s="12">
        <f t="shared" ref="C19:C42" si="3">+B19/$B$5</f>
        <v>0.13351868131868133</v>
      </c>
      <c r="D19" s="12">
        <f t="shared" ref="D19:D42" si="4">+B19/$B$3</f>
        <v>58.981553398058253</v>
      </c>
      <c r="E19" s="12">
        <f t="shared" ref="E19:E42" si="5">+B19/$B$4</f>
        <v>206.98807495741056</v>
      </c>
      <c r="G19" s="18">
        <f>B19-(B3*270*0.1)</f>
        <v>65882</v>
      </c>
      <c r="H19" s="12">
        <f t="shared" si="2"/>
        <v>5.6108227338729937E-2</v>
      </c>
      <c r="I19" s="12">
        <f t="shared" ref="I19:I42" si="6">+G19/$B$3</f>
        <v>31.981553398058253</v>
      </c>
      <c r="J19" s="12">
        <f t="shared" ref="J19:J42" si="7">+G19/$B$4</f>
        <v>112.2350936967632</v>
      </c>
      <c r="L19" t="s">
        <v>41</v>
      </c>
    </row>
    <row r="20" spans="1:12" x14ac:dyDescent="0.25">
      <c r="A20" s="9" t="s">
        <v>14</v>
      </c>
      <c r="B20" s="13">
        <v>67406</v>
      </c>
      <c r="C20" s="12">
        <f t="shared" si="3"/>
        <v>7.4072527472527475E-2</v>
      </c>
      <c r="D20" s="12">
        <f t="shared" si="4"/>
        <v>32.721359223300972</v>
      </c>
      <c r="E20" s="12">
        <f t="shared" si="5"/>
        <v>114.83134582623509</v>
      </c>
      <c r="G20" s="12">
        <f t="shared" ref="G20:G23" si="8">B20</f>
        <v>67406</v>
      </c>
      <c r="H20" s="12">
        <f t="shared" si="2"/>
        <v>5.7406137822082363E-2</v>
      </c>
      <c r="I20" s="12">
        <f t="shared" si="6"/>
        <v>32.721359223300972</v>
      </c>
      <c r="J20" s="12">
        <f t="shared" si="7"/>
        <v>114.83134582623509</v>
      </c>
    </row>
    <row r="21" spans="1:12" x14ac:dyDescent="0.25">
      <c r="A21" s="9" t="s">
        <v>15</v>
      </c>
      <c r="B21" s="13">
        <v>45500</v>
      </c>
      <c r="C21" s="12">
        <f t="shared" si="3"/>
        <v>0.05</v>
      </c>
      <c r="D21" s="12">
        <f t="shared" si="4"/>
        <v>22.087378640776699</v>
      </c>
      <c r="E21" s="12">
        <f t="shared" si="5"/>
        <v>77.512776831345832</v>
      </c>
      <c r="G21" s="12">
        <f t="shared" si="8"/>
        <v>45500</v>
      </c>
      <c r="H21" s="12">
        <f t="shared" si="2"/>
        <v>3.8749952094839446E-2</v>
      </c>
      <c r="I21" s="12">
        <f t="shared" si="6"/>
        <v>22.087378640776699</v>
      </c>
      <c r="J21" s="12">
        <f t="shared" si="7"/>
        <v>77.512776831345832</v>
      </c>
    </row>
    <row r="22" spans="1:12" x14ac:dyDescent="0.25">
      <c r="A22" s="9" t="s">
        <v>16</v>
      </c>
      <c r="B22" s="13">
        <v>72800</v>
      </c>
      <c r="C22" s="12">
        <f t="shared" si="3"/>
        <v>0.08</v>
      </c>
      <c r="D22" s="12">
        <f t="shared" si="4"/>
        <v>35.339805825242721</v>
      </c>
      <c r="E22" s="12">
        <f t="shared" si="5"/>
        <v>124.02044293015332</v>
      </c>
      <c r="G22" s="12">
        <f t="shared" si="8"/>
        <v>72800</v>
      </c>
      <c r="H22" s="12">
        <f t="shared" si="2"/>
        <v>6.1999923351743112E-2</v>
      </c>
      <c r="I22" s="12">
        <f t="shared" si="6"/>
        <v>35.339805825242721</v>
      </c>
      <c r="J22" s="12">
        <f t="shared" si="7"/>
        <v>124.02044293015332</v>
      </c>
    </row>
    <row r="23" spans="1:12" x14ac:dyDescent="0.25">
      <c r="A23" s="9" t="s">
        <v>17</v>
      </c>
      <c r="B23" s="13">
        <v>33028</v>
      </c>
      <c r="C23" s="12">
        <f t="shared" si="3"/>
        <v>3.6294505494505497E-2</v>
      </c>
      <c r="D23" s="12">
        <f t="shared" si="4"/>
        <v>16.033009708737865</v>
      </c>
      <c r="E23" s="12">
        <f t="shared" si="5"/>
        <v>56.265758091993185</v>
      </c>
      <c r="G23" s="12">
        <f t="shared" si="8"/>
        <v>33028</v>
      </c>
      <c r="H23" s="12">
        <f t="shared" si="2"/>
        <v>2.8128206984359496E-2</v>
      </c>
      <c r="I23" s="12">
        <f t="shared" si="6"/>
        <v>16.033009708737865</v>
      </c>
      <c r="J23" s="12">
        <f t="shared" si="7"/>
        <v>56.265758091993185</v>
      </c>
    </row>
    <row r="24" spans="1:12" x14ac:dyDescent="0.25">
      <c r="A24" s="9" t="s">
        <v>18</v>
      </c>
      <c r="B24" s="13">
        <v>864079</v>
      </c>
      <c r="C24" s="12">
        <f t="shared" si="3"/>
        <v>0.94953736263736266</v>
      </c>
      <c r="D24" s="12">
        <f t="shared" si="4"/>
        <v>419.45582524271845</v>
      </c>
      <c r="E24" s="12">
        <f t="shared" si="5"/>
        <v>1472.0255536626917</v>
      </c>
      <c r="G24" s="12">
        <f>+B24-G25</f>
        <v>246079</v>
      </c>
      <c r="H24" s="12">
        <f t="shared" si="2"/>
        <v>0.20957251563837354</v>
      </c>
      <c r="I24" s="12">
        <f t="shared" si="6"/>
        <v>119.45582524271845</v>
      </c>
      <c r="J24" s="12">
        <f t="shared" si="7"/>
        <v>419.21465076660991</v>
      </c>
    </row>
    <row r="25" spans="1:12" x14ac:dyDescent="0.25">
      <c r="A25" s="9" t="s">
        <v>104</v>
      </c>
      <c r="B25" s="12"/>
      <c r="C25" s="12"/>
      <c r="D25" s="12"/>
      <c r="E25" s="12"/>
      <c r="G25" s="16">
        <f>+B3*300</f>
        <v>618000</v>
      </c>
      <c r="H25" s="12">
        <f t="shared" si="2"/>
        <v>0.52631803065078631</v>
      </c>
      <c r="I25" s="12">
        <f t="shared" si="6"/>
        <v>300</v>
      </c>
      <c r="J25" s="12">
        <f t="shared" si="7"/>
        <v>1052.8109028960819</v>
      </c>
    </row>
    <row r="26" spans="1:12" x14ac:dyDescent="0.25">
      <c r="A26" s="6" t="s">
        <v>19</v>
      </c>
      <c r="B26" s="13">
        <v>389440</v>
      </c>
      <c r="C26" s="12">
        <f t="shared" si="3"/>
        <v>0.42795604395604397</v>
      </c>
      <c r="D26" s="12">
        <f t="shared" si="4"/>
        <v>189.04854368932038</v>
      </c>
      <c r="E26" s="12">
        <f t="shared" si="5"/>
        <v>663.4412265758092</v>
      </c>
      <c r="G26" s="12">
        <f t="shared" ref="G26:G40" si="9">B26</f>
        <v>389440</v>
      </c>
      <c r="H26" s="12">
        <f t="shared" si="2"/>
        <v>0.33166552403987415</v>
      </c>
      <c r="I26" s="12">
        <f t="shared" si="6"/>
        <v>189.04854368932038</v>
      </c>
      <c r="J26" s="12">
        <f t="shared" si="7"/>
        <v>663.4412265758092</v>
      </c>
    </row>
    <row r="27" spans="1:12" x14ac:dyDescent="0.25">
      <c r="A27" s="6" t="s">
        <v>44</v>
      </c>
      <c r="B27" s="13">
        <v>15279</v>
      </c>
      <c r="C27" s="12">
        <f t="shared" si="3"/>
        <v>1.679010989010989E-2</v>
      </c>
      <c r="D27" s="12">
        <f t="shared" si="4"/>
        <v>7.4169902912621355</v>
      </c>
      <c r="E27" s="12">
        <f t="shared" si="5"/>
        <v>26.028960817717206</v>
      </c>
      <c r="G27" s="12">
        <f t="shared" ref="G27" si="10">B27</f>
        <v>15279</v>
      </c>
      <c r="H27" s="12">
        <f t="shared" si="2"/>
        <v>1.3012319078176965E-2</v>
      </c>
      <c r="I27" s="12">
        <f t="shared" ref="I27" si="11">+G27/$B$3</f>
        <v>7.4169902912621355</v>
      </c>
      <c r="J27" s="12">
        <f t="shared" ref="J27" si="12">+G27/$B$4</f>
        <v>26.028960817717206</v>
      </c>
    </row>
    <row r="28" spans="1:12" x14ac:dyDescent="0.25">
      <c r="A28" s="6" t="s">
        <v>20</v>
      </c>
      <c r="B28" s="13">
        <v>0</v>
      </c>
      <c r="C28" s="12">
        <f t="shared" si="3"/>
        <v>0</v>
      </c>
      <c r="D28" s="12">
        <f t="shared" si="4"/>
        <v>0</v>
      </c>
      <c r="E28" s="12">
        <f t="shared" si="5"/>
        <v>0</v>
      </c>
      <c r="G28" s="12">
        <f t="shared" si="9"/>
        <v>0</v>
      </c>
      <c r="H28" s="12">
        <f t="shared" si="2"/>
        <v>0</v>
      </c>
      <c r="I28" s="12">
        <f t="shared" si="6"/>
        <v>0</v>
      </c>
      <c r="J28" s="12">
        <f t="shared" si="7"/>
        <v>0</v>
      </c>
    </row>
    <row r="29" spans="1:12" x14ac:dyDescent="0.25">
      <c r="A29" s="6" t="s">
        <v>21</v>
      </c>
      <c r="B29" s="13">
        <v>402050</v>
      </c>
      <c r="C29" s="12">
        <f t="shared" si="3"/>
        <v>0.44181318681318682</v>
      </c>
      <c r="D29" s="12">
        <f t="shared" si="4"/>
        <v>195.16990291262135</v>
      </c>
      <c r="E29" s="12">
        <f t="shared" si="5"/>
        <v>684.92333901192501</v>
      </c>
      <c r="G29" s="12">
        <f t="shared" si="9"/>
        <v>402050</v>
      </c>
      <c r="H29" s="12">
        <f t="shared" si="2"/>
        <v>0.34240479647758676</v>
      </c>
      <c r="I29" s="12">
        <f t="shared" si="6"/>
        <v>195.16990291262135</v>
      </c>
      <c r="J29" s="12">
        <f t="shared" si="7"/>
        <v>684.92333901192501</v>
      </c>
    </row>
    <row r="30" spans="1:12" x14ac:dyDescent="0.25">
      <c r="A30" s="8" t="s">
        <v>10</v>
      </c>
      <c r="B30" s="13">
        <f>SUM(B26:B29)</f>
        <v>806769</v>
      </c>
      <c r="C30" s="12">
        <f t="shared" si="3"/>
        <v>0.88655934065934061</v>
      </c>
      <c r="D30" s="12">
        <f t="shared" si="4"/>
        <v>391.63543689320386</v>
      </c>
      <c r="E30" s="12">
        <f t="shared" si="5"/>
        <v>1374.3935264054514</v>
      </c>
      <c r="G30" s="12">
        <f t="shared" si="9"/>
        <v>806769</v>
      </c>
      <c r="H30" s="12">
        <f t="shared" si="2"/>
        <v>0.68708263959563787</v>
      </c>
      <c r="I30" s="12">
        <f t="shared" si="6"/>
        <v>391.63543689320386</v>
      </c>
      <c r="J30" s="12">
        <f t="shared" si="7"/>
        <v>1374.3935264054514</v>
      </c>
    </row>
    <row r="31" spans="1:12" x14ac:dyDescent="0.25">
      <c r="A31" s="8" t="s">
        <v>22</v>
      </c>
      <c r="B31" s="13">
        <v>246493</v>
      </c>
      <c r="C31" s="12">
        <f t="shared" si="3"/>
        <v>0.2708714285714286</v>
      </c>
      <c r="D31" s="12">
        <f t="shared" si="4"/>
        <v>119.65679611650485</v>
      </c>
      <c r="E31" s="12">
        <f t="shared" si="5"/>
        <v>419.9199318568995</v>
      </c>
      <c r="G31" s="12">
        <f t="shared" si="9"/>
        <v>246493</v>
      </c>
      <c r="H31" s="12">
        <f t="shared" si="2"/>
        <v>0.20992509762007161</v>
      </c>
      <c r="I31" s="12">
        <f t="shared" si="6"/>
        <v>119.65679611650485</v>
      </c>
      <c r="J31" s="12">
        <f t="shared" si="7"/>
        <v>419.9199318568995</v>
      </c>
    </row>
    <row r="32" spans="1:12" x14ac:dyDescent="0.25">
      <c r="A32" s="8" t="s">
        <v>23</v>
      </c>
      <c r="B32" s="13">
        <v>46360</v>
      </c>
      <c r="C32" s="12">
        <f t="shared" si="3"/>
        <v>5.0945054945054948E-2</v>
      </c>
      <c r="D32" s="12">
        <f t="shared" si="4"/>
        <v>22.50485436893204</v>
      </c>
      <c r="E32" s="12">
        <f t="shared" si="5"/>
        <v>78.977853492333907</v>
      </c>
      <c r="G32" s="12">
        <f t="shared" si="9"/>
        <v>46360</v>
      </c>
      <c r="H32" s="12">
        <f t="shared" si="2"/>
        <v>3.9482368771796846E-2</v>
      </c>
      <c r="I32" s="12">
        <f t="shared" si="6"/>
        <v>22.50485436893204</v>
      </c>
      <c r="J32" s="12">
        <f t="shared" si="7"/>
        <v>78.977853492333907</v>
      </c>
    </row>
    <row r="33" spans="1:10" x14ac:dyDescent="0.25">
      <c r="A33" s="8" t="s">
        <v>24</v>
      </c>
      <c r="B33" s="13">
        <v>1948</v>
      </c>
      <c r="C33" s="12">
        <f t="shared" si="3"/>
        <v>2.1406593406593406E-3</v>
      </c>
      <c r="D33" s="12">
        <f t="shared" si="4"/>
        <v>0.94563106796116503</v>
      </c>
      <c r="E33" s="12">
        <f t="shared" si="5"/>
        <v>3.3185689948892674</v>
      </c>
      <c r="G33" s="12">
        <f t="shared" si="9"/>
        <v>1948</v>
      </c>
      <c r="H33" s="12">
        <f t="shared" si="2"/>
        <v>1.6590089380384009E-3</v>
      </c>
      <c r="I33" s="12">
        <f t="shared" si="6"/>
        <v>0.94563106796116503</v>
      </c>
      <c r="J33" s="12">
        <f t="shared" si="7"/>
        <v>3.3185689948892674</v>
      </c>
    </row>
    <row r="34" spans="1:10" x14ac:dyDescent="0.25">
      <c r="A34" s="8" t="s">
        <v>25</v>
      </c>
      <c r="B34" s="13">
        <v>56212</v>
      </c>
      <c r="C34" s="12">
        <f t="shared" si="3"/>
        <v>6.1771428571428574E-2</v>
      </c>
      <c r="D34" s="12">
        <f t="shared" si="4"/>
        <v>27.287378640776698</v>
      </c>
      <c r="E34" s="12">
        <f t="shared" si="5"/>
        <v>95.761499148211243</v>
      </c>
      <c r="G34" s="12">
        <f t="shared" si="9"/>
        <v>56212</v>
      </c>
      <c r="H34" s="12">
        <f t="shared" si="2"/>
        <v>4.7872797959453074E-2</v>
      </c>
      <c r="I34" s="12">
        <f t="shared" si="6"/>
        <v>27.287378640776698</v>
      </c>
      <c r="J34" s="12">
        <f t="shared" si="7"/>
        <v>95.761499148211243</v>
      </c>
    </row>
    <row r="35" spans="1:10" x14ac:dyDescent="0.25">
      <c r="A35" s="8" t="s">
        <v>26</v>
      </c>
      <c r="B35" s="13">
        <v>82500</v>
      </c>
      <c r="C35" s="12">
        <f t="shared" si="3"/>
        <v>9.0659340659340656E-2</v>
      </c>
      <c r="D35" s="12">
        <f t="shared" si="4"/>
        <v>40.04854368932039</v>
      </c>
      <c r="E35" s="12">
        <f t="shared" si="5"/>
        <v>140.54514480408858</v>
      </c>
      <c r="G35" s="12">
        <f t="shared" si="9"/>
        <v>82500</v>
      </c>
      <c r="H35" s="12">
        <f t="shared" si="2"/>
        <v>7.0260902149983609E-2</v>
      </c>
      <c r="I35" s="12">
        <f t="shared" si="6"/>
        <v>40.04854368932039</v>
      </c>
      <c r="J35" s="12">
        <f t="shared" si="7"/>
        <v>140.54514480408858</v>
      </c>
    </row>
    <row r="36" spans="1:10" x14ac:dyDescent="0.25">
      <c r="A36" s="8" t="s">
        <v>27</v>
      </c>
      <c r="B36" s="13">
        <v>23769</v>
      </c>
      <c r="C36" s="12">
        <f t="shared" si="3"/>
        <v>2.611978021978022E-2</v>
      </c>
      <c r="D36" s="12">
        <f t="shared" si="4"/>
        <v>11.538349514563107</v>
      </c>
      <c r="E36" s="12">
        <f t="shared" si="5"/>
        <v>40.492333901192502</v>
      </c>
      <c r="G36" s="12">
        <f t="shared" si="9"/>
        <v>23769</v>
      </c>
      <c r="H36" s="12">
        <f t="shared" si="2"/>
        <v>2.0242804644884368E-2</v>
      </c>
      <c r="I36" s="12">
        <f t="shared" si="6"/>
        <v>11.538349514563107</v>
      </c>
      <c r="J36" s="12">
        <f t="shared" si="7"/>
        <v>40.492333901192502</v>
      </c>
    </row>
    <row r="37" spans="1:10" x14ac:dyDescent="0.25">
      <c r="A37" s="8" t="s">
        <v>28</v>
      </c>
      <c r="B37" s="13">
        <v>21790</v>
      </c>
      <c r="C37" s="12">
        <f t="shared" si="3"/>
        <v>2.3945054945054944E-2</v>
      </c>
      <c r="D37" s="12">
        <f t="shared" si="4"/>
        <v>10.577669902912621</v>
      </c>
      <c r="E37" s="12">
        <f t="shared" si="5"/>
        <v>37.120954003407157</v>
      </c>
      <c r="G37" s="12">
        <f t="shared" si="9"/>
        <v>21790</v>
      </c>
      <c r="H37" s="12">
        <f t="shared" si="2"/>
        <v>1.8557394640583549E-2</v>
      </c>
      <c r="I37" s="12">
        <f t="shared" si="6"/>
        <v>10.577669902912621</v>
      </c>
      <c r="J37" s="12">
        <f t="shared" si="7"/>
        <v>37.120954003407157</v>
      </c>
    </row>
    <row r="38" spans="1:10" x14ac:dyDescent="0.25">
      <c r="A38" s="8" t="s">
        <v>29</v>
      </c>
      <c r="B38" s="13">
        <v>27500</v>
      </c>
      <c r="C38" s="12">
        <f t="shared" si="3"/>
        <v>3.021978021978022E-2</v>
      </c>
      <c r="D38" s="12">
        <f t="shared" si="4"/>
        <v>13.349514563106796</v>
      </c>
      <c r="E38" s="12">
        <f t="shared" si="5"/>
        <v>46.84838160136286</v>
      </c>
      <c r="G38" s="12">
        <f t="shared" si="9"/>
        <v>27500</v>
      </c>
      <c r="H38" s="12">
        <f t="shared" si="2"/>
        <v>2.3420300716661201E-2</v>
      </c>
      <c r="I38" s="12">
        <f t="shared" si="6"/>
        <v>13.349514563106796</v>
      </c>
      <c r="J38" s="12">
        <f t="shared" si="7"/>
        <v>46.84838160136286</v>
      </c>
    </row>
    <row r="39" spans="1:10" x14ac:dyDescent="0.25">
      <c r="A39" s="8" t="s">
        <v>30</v>
      </c>
      <c r="B39" s="13">
        <v>31255</v>
      </c>
      <c r="C39" s="12">
        <f t="shared" si="3"/>
        <v>3.4346153846153846E-2</v>
      </c>
      <c r="D39" s="12">
        <f t="shared" si="4"/>
        <v>15.172330097087379</v>
      </c>
      <c r="E39" s="12">
        <f t="shared" si="5"/>
        <v>53.245315161839862</v>
      </c>
      <c r="G39" s="12">
        <f t="shared" si="9"/>
        <v>31255</v>
      </c>
      <c r="H39" s="12">
        <f t="shared" si="2"/>
        <v>2.6618236323608942E-2</v>
      </c>
      <c r="I39" s="12">
        <f t="shared" si="6"/>
        <v>15.172330097087379</v>
      </c>
      <c r="J39" s="12">
        <f t="shared" si="7"/>
        <v>53.245315161839862</v>
      </c>
    </row>
    <row r="40" spans="1:10" x14ac:dyDescent="0.25">
      <c r="A40" s="8" t="s">
        <v>72</v>
      </c>
      <c r="B40" s="13">
        <v>309841</v>
      </c>
      <c r="C40" s="12">
        <f t="shared" si="3"/>
        <v>0.34048461538461539</v>
      </c>
      <c r="D40" s="12">
        <f t="shared" si="4"/>
        <v>150.40825242718446</v>
      </c>
      <c r="E40" s="12">
        <f t="shared" si="5"/>
        <v>527.83816013628621</v>
      </c>
      <c r="G40" s="12">
        <f t="shared" si="9"/>
        <v>309841</v>
      </c>
      <c r="H40" s="12">
        <f t="shared" si="2"/>
        <v>0.26387525070367357</v>
      </c>
      <c r="I40" s="12">
        <f t="shared" si="6"/>
        <v>150.40825242718446</v>
      </c>
      <c r="J40" s="12">
        <f t="shared" si="7"/>
        <v>527.83816013628621</v>
      </c>
    </row>
    <row r="41" spans="1:10" ht="18" thickBot="1" x14ac:dyDescent="0.35">
      <c r="A41" s="10" t="s">
        <v>31</v>
      </c>
      <c r="B41" s="12">
        <f>SUM(B18:B40)-2*SUM(B26:B29)</f>
        <v>2825483</v>
      </c>
      <c r="C41" s="12">
        <f t="shared" si="3"/>
        <v>3.1049263736263737</v>
      </c>
      <c r="D41" s="12">
        <f t="shared" si="4"/>
        <v>1371.5936893203884</v>
      </c>
      <c r="E41" s="12">
        <f t="shared" si="5"/>
        <v>4813.4293015332196</v>
      </c>
      <c r="G41" s="12">
        <f>SUM(G18:G40)-2*SUM(G26:G29)</f>
        <v>2769863</v>
      </c>
      <c r="H41" s="12">
        <f t="shared" si="2"/>
        <v>2.3589463419619401</v>
      </c>
      <c r="I41" s="12">
        <f t="shared" si="6"/>
        <v>1344.5936893203884</v>
      </c>
      <c r="J41" s="12">
        <f t="shared" si="7"/>
        <v>4718.6763202725724</v>
      </c>
    </row>
    <row r="42" spans="1:10" ht="18.75" thickTop="1" thickBot="1" x14ac:dyDescent="0.35">
      <c r="A42" s="10" t="s">
        <v>32</v>
      </c>
      <c r="B42" s="12">
        <f>+B15-B41</f>
        <v>1101696</v>
      </c>
      <c r="C42" s="12">
        <f t="shared" si="3"/>
        <v>1.2106549450549451</v>
      </c>
      <c r="D42" s="12">
        <f t="shared" si="4"/>
        <v>534.80388349514567</v>
      </c>
      <c r="E42" s="12">
        <f t="shared" si="5"/>
        <v>1876.8245315161839</v>
      </c>
      <c r="G42" s="12">
        <f>+G15-G41</f>
        <v>2174466.75</v>
      </c>
      <c r="H42" s="12">
        <f t="shared" si="2"/>
        <v>1.8518787339411256</v>
      </c>
      <c r="I42" s="12">
        <f t="shared" si="6"/>
        <v>1055.5663834951456</v>
      </c>
      <c r="J42" s="12">
        <f t="shared" si="7"/>
        <v>3704.3726575809201</v>
      </c>
    </row>
    <row r="43" spans="1:10" ht="15.75" thickTop="1" x14ac:dyDescent="0.25"/>
  </sheetData>
  <mergeCells count="4">
    <mergeCell ref="F4:F5"/>
    <mergeCell ref="F6:F8"/>
    <mergeCell ref="G7:J7"/>
    <mergeCell ref="G8:J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workbookViewId="0">
      <selection activeCell="H14" sqref="H14"/>
    </sheetView>
  </sheetViews>
  <sheetFormatPr defaultRowHeight="15" x14ac:dyDescent="0.25"/>
  <cols>
    <col min="1" max="1" width="36.875" customWidth="1"/>
    <col min="2" max="2" width="13.25" customWidth="1"/>
    <col min="3" max="3" width="11.75" customWidth="1"/>
    <col min="4" max="4" width="13.25" customWidth="1"/>
    <col min="5" max="5" width="12.75" customWidth="1"/>
    <col min="6" max="6" width="11.125" bestFit="1" customWidth="1"/>
    <col min="7" max="7" width="12.75" bestFit="1" customWidth="1"/>
    <col min="10" max="10" width="10.25" customWidth="1"/>
  </cols>
  <sheetData>
    <row r="1" spans="1:12" ht="75" x14ac:dyDescent="0.25">
      <c r="A1" s="11" t="s">
        <v>55</v>
      </c>
      <c r="B1" s="1"/>
    </row>
    <row r="2" spans="1:12" x14ac:dyDescent="0.25">
      <c r="A2" s="11"/>
      <c r="B2" s="1"/>
    </row>
    <row r="3" spans="1:12" x14ac:dyDescent="0.25">
      <c r="A3" s="11" t="s">
        <v>36</v>
      </c>
      <c r="B3" s="14">
        <v>1340</v>
      </c>
    </row>
    <row r="4" spans="1:12" x14ac:dyDescent="0.25">
      <c r="A4" s="11" t="s">
        <v>37</v>
      </c>
      <c r="B4" s="14">
        <v>335</v>
      </c>
      <c r="F4" s="40" t="s">
        <v>50</v>
      </c>
      <c r="G4" s="21"/>
    </row>
    <row r="5" spans="1:12" x14ac:dyDescent="0.25">
      <c r="A5" s="11" t="s">
        <v>33</v>
      </c>
      <c r="B5" s="14">
        <v>650000</v>
      </c>
      <c r="F5" s="41"/>
      <c r="G5" s="22">
        <f>+B5+(0.6*270*B3)</f>
        <v>867080</v>
      </c>
    </row>
    <row r="6" spans="1:12" x14ac:dyDescent="0.25">
      <c r="A6" s="11" t="s">
        <v>34</v>
      </c>
      <c r="B6" s="19">
        <f>+B5/B3</f>
        <v>485.07462686567163</v>
      </c>
      <c r="F6" s="42" t="s">
        <v>103</v>
      </c>
      <c r="G6" s="2" t="s">
        <v>40</v>
      </c>
    </row>
    <row r="7" spans="1:12" ht="15" customHeight="1" x14ac:dyDescent="0.25">
      <c r="A7" s="11" t="s">
        <v>35</v>
      </c>
      <c r="B7" s="20">
        <f>+B3/B4</f>
        <v>4</v>
      </c>
      <c r="F7" s="42"/>
      <c r="G7" s="39" t="s">
        <v>39</v>
      </c>
      <c r="H7" s="39"/>
      <c r="I7" s="39"/>
      <c r="J7" s="39"/>
    </row>
    <row r="8" spans="1:12" x14ac:dyDescent="0.25">
      <c r="A8" s="11"/>
      <c r="B8" s="1"/>
      <c r="F8" s="42"/>
      <c r="G8" s="39" t="s">
        <v>102</v>
      </c>
      <c r="H8" s="39"/>
      <c r="I8" s="39"/>
      <c r="J8" s="39"/>
    </row>
    <row r="10" spans="1:12" ht="18" thickBot="1" x14ac:dyDescent="0.35">
      <c r="A10" s="5" t="s">
        <v>1</v>
      </c>
      <c r="B10" s="5" t="s">
        <v>6</v>
      </c>
      <c r="C10" s="5" t="s">
        <v>7</v>
      </c>
      <c r="D10" s="5" t="s">
        <v>8</v>
      </c>
      <c r="E10" s="5" t="s">
        <v>9</v>
      </c>
      <c r="G10" s="5" t="s">
        <v>6</v>
      </c>
      <c r="H10" s="5" t="s">
        <v>7</v>
      </c>
      <c r="I10" s="5" t="s">
        <v>8</v>
      </c>
      <c r="J10" s="5" t="s">
        <v>9</v>
      </c>
    </row>
    <row r="11" spans="1:12" ht="16.5" thickTop="1" x14ac:dyDescent="0.25">
      <c r="A11" s="4" t="s">
        <v>2</v>
      </c>
      <c r="E11" s="3"/>
    </row>
    <row r="12" spans="1:12" x14ac:dyDescent="0.25">
      <c r="A12" s="6" t="s">
        <v>3</v>
      </c>
      <c r="B12" s="16">
        <f>+C12*B5</f>
        <v>2502500</v>
      </c>
      <c r="C12" s="13">
        <v>3.85</v>
      </c>
      <c r="D12" s="12">
        <f>+B12/B3</f>
        <v>1867.5373134328358</v>
      </c>
      <c r="E12" s="15">
        <f>+B12/B4</f>
        <v>7470.1492537313434</v>
      </c>
      <c r="G12" s="12">
        <f>+B12+(0.475*270*C12*B3)</f>
        <v>3164141.75</v>
      </c>
      <c r="H12" s="13">
        <f>+C12</f>
        <v>3.85</v>
      </c>
      <c r="I12" s="12">
        <f>+G12/$B$3</f>
        <v>2361.2998134328359</v>
      </c>
      <c r="J12" s="12">
        <f>+G12/B4</f>
        <v>9445.1992537313436</v>
      </c>
    </row>
    <row r="13" spans="1:12" x14ac:dyDescent="0.25">
      <c r="A13" s="6" t="s">
        <v>4</v>
      </c>
      <c r="B13" s="13">
        <v>422000</v>
      </c>
      <c r="C13" s="12">
        <f>+B13/$B$5</f>
        <v>0.64923076923076928</v>
      </c>
      <c r="D13" s="12">
        <f>+B13/$B$3</f>
        <v>314.92537313432837</v>
      </c>
      <c r="E13" s="12">
        <f>+B13/$B$4</f>
        <v>1259.7014925373135</v>
      </c>
      <c r="G13" s="13">
        <f>+B13</f>
        <v>422000</v>
      </c>
      <c r="H13" s="12">
        <f>+G13/$G$5</f>
        <v>0.48669096277160123</v>
      </c>
      <c r="I13" s="12">
        <f>+G13/$B$3</f>
        <v>314.92537313432837</v>
      </c>
      <c r="J13" s="12">
        <f>+G13/$B$4</f>
        <v>1259.7014925373135</v>
      </c>
    </row>
    <row r="14" spans="1:12" x14ac:dyDescent="0.25">
      <c r="A14" s="6" t="s">
        <v>5</v>
      </c>
      <c r="B14" s="13">
        <v>0</v>
      </c>
      <c r="C14" s="12">
        <f>+B14/$B$5</f>
        <v>0</v>
      </c>
      <c r="D14" s="12">
        <f>+B14/$B$3</f>
        <v>0</v>
      </c>
      <c r="E14" s="12">
        <f>+B14/$B$4</f>
        <v>0</v>
      </c>
      <c r="G14" s="13">
        <f>+B14</f>
        <v>0</v>
      </c>
      <c r="H14" s="12">
        <f>+G14/$G$5</f>
        <v>0</v>
      </c>
      <c r="I14" s="12">
        <f>+G14/$B$3</f>
        <v>0</v>
      </c>
      <c r="J14" s="12">
        <f>+G14/$B$4</f>
        <v>0</v>
      </c>
    </row>
    <row r="15" spans="1:12" x14ac:dyDescent="0.25">
      <c r="A15" s="7" t="s">
        <v>10</v>
      </c>
      <c r="B15" s="12">
        <f>SUM(B12:B14)</f>
        <v>2924500</v>
      </c>
      <c r="C15" s="12">
        <f t="shared" ref="C15:E15" si="0">SUM(C12:C14)</f>
        <v>4.4992307692307696</v>
      </c>
      <c r="D15" s="12">
        <f t="shared" si="0"/>
        <v>2182.4626865671644</v>
      </c>
      <c r="E15" s="12">
        <f t="shared" si="0"/>
        <v>8729.8507462686575</v>
      </c>
      <c r="G15" s="12">
        <f>SUM(G12:G14)</f>
        <v>3586141.75</v>
      </c>
      <c r="H15" s="12">
        <f t="shared" ref="H15:J15" si="1">SUM(H12:H14)</f>
        <v>4.336690962771601</v>
      </c>
      <c r="I15" s="12">
        <f t="shared" si="1"/>
        <v>2676.2251865671642</v>
      </c>
      <c r="J15" s="12">
        <f t="shared" si="1"/>
        <v>10704.900746268657</v>
      </c>
    </row>
    <row r="16" spans="1:12" x14ac:dyDescent="0.25">
      <c r="L16" s="2"/>
    </row>
    <row r="17" spans="1:12" ht="18" thickBot="1" x14ac:dyDescent="0.35">
      <c r="A17" s="5" t="s">
        <v>11</v>
      </c>
      <c r="B17" s="5" t="s">
        <v>6</v>
      </c>
      <c r="C17" s="5" t="s">
        <v>7</v>
      </c>
      <c r="D17" s="5" t="s">
        <v>8</v>
      </c>
      <c r="E17" s="5" t="s">
        <v>9</v>
      </c>
    </row>
    <row r="18" spans="1:12" ht="15.75" thickTop="1" x14ac:dyDescent="0.25">
      <c r="A18" s="9" t="s">
        <v>12</v>
      </c>
      <c r="B18" s="13">
        <v>419600</v>
      </c>
      <c r="C18" s="12">
        <f>+B18/$B$5</f>
        <v>0.64553846153846151</v>
      </c>
      <c r="D18" s="12">
        <f>+B18/$B$3</f>
        <v>313.13432835820896</v>
      </c>
      <c r="E18" s="12">
        <f>+B18/$B$4</f>
        <v>1252.5373134328358</v>
      </c>
      <c r="G18" s="12">
        <f>B18</f>
        <v>419600</v>
      </c>
      <c r="H18" s="12">
        <f t="shared" ref="H18:H40" si="2">+G18/$G$5</f>
        <v>0.4839230520828528</v>
      </c>
      <c r="I18" s="12">
        <f>+G18/$B$3</f>
        <v>313.13432835820896</v>
      </c>
      <c r="J18" s="12">
        <f>+G18/$B$4</f>
        <v>1252.5373134328358</v>
      </c>
    </row>
    <row r="19" spans="1:12" x14ac:dyDescent="0.25">
      <c r="A19" s="9" t="s">
        <v>13</v>
      </c>
      <c r="B19" s="13">
        <v>81000</v>
      </c>
      <c r="C19" s="12">
        <f t="shared" ref="C19:C41" si="3">+B19/$B$5</f>
        <v>0.12461538461538461</v>
      </c>
      <c r="D19" s="12">
        <f t="shared" ref="D19:D41" si="4">+B19/$B$3</f>
        <v>60.447761194029852</v>
      </c>
      <c r="E19" s="12">
        <f t="shared" ref="E19:E41" si="5">+B19/$B$4</f>
        <v>241.79104477611941</v>
      </c>
      <c r="G19" s="18">
        <f>B19-(B3*270*0.1)</f>
        <v>44820</v>
      </c>
      <c r="H19" s="12">
        <f t="shared" si="2"/>
        <v>5.1690732112377173E-2</v>
      </c>
      <c r="I19" s="12">
        <f t="shared" ref="I19:I41" si="6">+G19/$B$3</f>
        <v>33.447761194029852</v>
      </c>
      <c r="J19" s="12">
        <f t="shared" ref="J19:J41" si="7">+G19/$B$4</f>
        <v>133.79104477611941</v>
      </c>
      <c r="L19" t="s">
        <v>41</v>
      </c>
    </row>
    <row r="20" spans="1:12" x14ac:dyDescent="0.25">
      <c r="A20" s="9" t="s">
        <v>14</v>
      </c>
      <c r="B20" s="13">
        <v>85700</v>
      </c>
      <c r="C20" s="12">
        <f t="shared" si="3"/>
        <v>0.13184615384615384</v>
      </c>
      <c r="D20" s="12">
        <f t="shared" si="4"/>
        <v>63.955223880597018</v>
      </c>
      <c r="E20" s="12">
        <f t="shared" si="5"/>
        <v>255.82089552238807</v>
      </c>
      <c r="G20" s="12">
        <f t="shared" ref="G20:G23" si="8">B20</f>
        <v>85700</v>
      </c>
      <c r="H20" s="12">
        <f t="shared" si="2"/>
        <v>9.8837477510725649E-2</v>
      </c>
      <c r="I20" s="12">
        <f t="shared" si="6"/>
        <v>63.955223880597018</v>
      </c>
      <c r="J20" s="12">
        <f t="shared" si="7"/>
        <v>255.82089552238807</v>
      </c>
    </row>
    <row r="21" spans="1:12" x14ac:dyDescent="0.25">
      <c r="A21" s="9" t="s">
        <v>15</v>
      </c>
      <c r="B21" s="13">
        <v>50500</v>
      </c>
      <c r="C21" s="12">
        <f t="shared" si="3"/>
        <v>7.7692307692307686E-2</v>
      </c>
      <c r="D21" s="12">
        <f t="shared" si="4"/>
        <v>37.686567164179102</v>
      </c>
      <c r="E21" s="12">
        <f t="shared" si="5"/>
        <v>150.74626865671641</v>
      </c>
      <c r="G21" s="12">
        <f t="shared" si="8"/>
        <v>50500</v>
      </c>
      <c r="H21" s="12">
        <f t="shared" si="2"/>
        <v>5.8241454075748489E-2</v>
      </c>
      <c r="I21" s="12">
        <f t="shared" si="6"/>
        <v>37.686567164179102</v>
      </c>
      <c r="J21" s="12">
        <f t="shared" si="7"/>
        <v>150.74626865671641</v>
      </c>
    </row>
    <row r="22" spans="1:12" x14ac:dyDescent="0.25">
      <c r="A22" s="9" t="s">
        <v>16</v>
      </c>
      <c r="B22" s="13">
        <v>240500</v>
      </c>
      <c r="C22" s="12">
        <f t="shared" si="3"/>
        <v>0.37</v>
      </c>
      <c r="D22" s="12">
        <f t="shared" si="4"/>
        <v>179.47761194029852</v>
      </c>
      <c r="E22" s="12">
        <f t="shared" si="5"/>
        <v>717.91044776119406</v>
      </c>
      <c r="G22" s="12">
        <f t="shared" si="8"/>
        <v>240500</v>
      </c>
      <c r="H22" s="12">
        <f t="shared" si="2"/>
        <v>0.27736771693500023</v>
      </c>
      <c r="I22" s="12">
        <f t="shared" si="6"/>
        <v>179.47761194029852</v>
      </c>
      <c r="J22" s="12">
        <f t="shared" si="7"/>
        <v>717.91044776119406</v>
      </c>
      <c r="L22" t="s">
        <v>56</v>
      </c>
    </row>
    <row r="23" spans="1:12" x14ac:dyDescent="0.25">
      <c r="A23" s="9" t="s">
        <v>17</v>
      </c>
      <c r="B23" s="13">
        <v>0</v>
      </c>
      <c r="C23" s="12">
        <f t="shared" si="3"/>
        <v>0</v>
      </c>
      <c r="D23" s="12">
        <f t="shared" si="4"/>
        <v>0</v>
      </c>
      <c r="E23" s="12">
        <f t="shared" si="5"/>
        <v>0</v>
      </c>
      <c r="G23" s="12">
        <f t="shared" si="8"/>
        <v>0</v>
      </c>
      <c r="H23" s="12">
        <f t="shared" si="2"/>
        <v>0</v>
      </c>
      <c r="I23" s="12">
        <f t="shared" si="6"/>
        <v>0</v>
      </c>
      <c r="J23" s="12">
        <f t="shared" si="7"/>
        <v>0</v>
      </c>
    </row>
    <row r="24" spans="1:12" x14ac:dyDescent="0.25">
      <c r="A24" s="9" t="s">
        <v>18</v>
      </c>
      <c r="B24" s="13">
        <v>837080</v>
      </c>
      <c r="C24" s="12">
        <f t="shared" si="3"/>
        <v>1.2878153846153846</v>
      </c>
      <c r="D24" s="12">
        <f t="shared" si="4"/>
        <v>624.68656716417911</v>
      </c>
      <c r="E24" s="12">
        <f t="shared" si="5"/>
        <v>2498.7462686567164</v>
      </c>
      <c r="G24" s="12">
        <f>+B24-G25</f>
        <v>435080</v>
      </c>
      <c r="H24" s="12">
        <f t="shared" si="2"/>
        <v>0.50177607602528029</v>
      </c>
      <c r="I24" s="12">
        <f t="shared" si="6"/>
        <v>324.68656716417911</v>
      </c>
      <c r="J24" s="12">
        <f t="shared" si="7"/>
        <v>1298.7462686567164</v>
      </c>
    </row>
    <row r="25" spans="1:12" x14ac:dyDescent="0.25">
      <c r="A25" s="9" t="s">
        <v>104</v>
      </c>
      <c r="B25" s="12"/>
      <c r="C25" s="12"/>
      <c r="D25" s="12"/>
      <c r="E25" s="12"/>
      <c r="G25" s="16">
        <f>+B3*300</f>
        <v>402000</v>
      </c>
      <c r="H25" s="12">
        <f t="shared" si="2"/>
        <v>0.46362504036536423</v>
      </c>
      <c r="I25" s="12">
        <f t="shared" si="6"/>
        <v>300</v>
      </c>
      <c r="J25" s="12">
        <f t="shared" si="7"/>
        <v>1200</v>
      </c>
    </row>
    <row r="26" spans="1:12" x14ac:dyDescent="0.25">
      <c r="A26" s="6" t="s">
        <v>19</v>
      </c>
      <c r="B26" s="13">
        <v>337819</v>
      </c>
      <c r="C26" s="12">
        <f t="shared" si="3"/>
        <v>0.51972153846153846</v>
      </c>
      <c r="D26" s="12">
        <f t="shared" si="4"/>
        <v>252.10373134328358</v>
      </c>
      <c r="E26" s="12">
        <f t="shared" si="5"/>
        <v>1008.4149253731343</v>
      </c>
      <c r="G26" s="12">
        <f t="shared" ref="G26:G39" si="9">B26</f>
        <v>337819</v>
      </c>
      <c r="H26" s="12">
        <f t="shared" si="2"/>
        <v>0.38960534206762931</v>
      </c>
      <c r="I26" s="12">
        <f t="shared" si="6"/>
        <v>252.10373134328358</v>
      </c>
      <c r="J26" s="12">
        <f t="shared" si="7"/>
        <v>1008.4149253731343</v>
      </c>
    </row>
    <row r="27" spans="1:12" x14ac:dyDescent="0.25">
      <c r="A27" s="6" t="s">
        <v>44</v>
      </c>
      <c r="B27" s="13">
        <v>55000</v>
      </c>
      <c r="C27" s="12">
        <f t="shared" si="3"/>
        <v>8.461538461538462E-2</v>
      </c>
      <c r="D27" s="12">
        <f t="shared" si="4"/>
        <v>41.044776119402982</v>
      </c>
      <c r="E27" s="12">
        <f t="shared" si="5"/>
        <v>164.17910447761193</v>
      </c>
      <c r="G27" s="12">
        <f t="shared" si="9"/>
        <v>55000</v>
      </c>
      <c r="H27" s="12">
        <f t="shared" si="2"/>
        <v>6.3431286617151819E-2</v>
      </c>
      <c r="I27" s="12">
        <f t="shared" si="6"/>
        <v>41.044776119402982</v>
      </c>
      <c r="J27" s="12">
        <f t="shared" si="7"/>
        <v>164.17910447761193</v>
      </c>
    </row>
    <row r="28" spans="1:12" x14ac:dyDescent="0.25">
      <c r="A28" s="6" t="s">
        <v>20</v>
      </c>
      <c r="B28" s="13">
        <v>0</v>
      </c>
      <c r="C28" s="12">
        <f t="shared" si="3"/>
        <v>0</v>
      </c>
      <c r="D28" s="12">
        <f t="shared" si="4"/>
        <v>0</v>
      </c>
      <c r="E28" s="12">
        <f t="shared" si="5"/>
        <v>0</v>
      </c>
      <c r="G28" s="12">
        <f t="shared" si="9"/>
        <v>0</v>
      </c>
      <c r="H28" s="12">
        <f t="shared" si="2"/>
        <v>0</v>
      </c>
      <c r="I28" s="12">
        <f t="shared" si="6"/>
        <v>0</v>
      </c>
      <c r="J28" s="12">
        <f t="shared" si="7"/>
        <v>0</v>
      </c>
    </row>
    <row r="29" spans="1:12" x14ac:dyDescent="0.25">
      <c r="A29" s="6" t="s">
        <v>21</v>
      </c>
      <c r="B29" s="13">
        <v>270136</v>
      </c>
      <c r="C29" s="12">
        <f t="shared" si="3"/>
        <v>0.41559384615384615</v>
      </c>
      <c r="D29" s="12">
        <f t="shared" si="4"/>
        <v>201.59402985074627</v>
      </c>
      <c r="E29" s="12">
        <f t="shared" si="5"/>
        <v>806.37611940298507</v>
      </c>
      <c r="G29" s="12">
        <f t="shared" si="9"/>
        <v>270136</v>
      </c>
      <c r="H29" s="12">
        <f t="shared" si="2"/>
        <v>0.31154680075656227</v>
      </c>
      <c r="I29" s="12">
        <f t="shared" si="6"/>
        <v>201.59402985074627</v>
      </c>
      <c r="J29" s="12">
        <f t="shared" si="7"/>
        <v>806.37611940298507</v>
      </c>
    </row>
    <row r="30" spans="1:12" x14ac:dyDescent="0.25">
      <c r="A30" s="8" t="s">
        <v>10</v>
      </c>
      <c r="B30" s="13">
        <f>SUM(B26:B29)</f>
        <v>662955</v>
      </c>
      <c r="C30" s="12">
        <f t="shared" si="3"/>
        <v>1.0199307692307693</v>
      </c>
      <c r="D30" s="12">
        <f t="shared" si="4"/>
        <v>494.74253731343282</v>
      </c>
      <c r="E30" s="12">
        <f t="shared" si="5"/>
        <v>1978.9701492537313</v>
      </c>
      <c r="G30" s="12">
        <f t="shared" si="9"/>
        <v>662955</v>
      </c>
      <c r="H30" s="12">
        <f t="shared" si="2"/>
        <v>0.76458342944134339</v>
      </c>
      <c r="I30" s="12">
        <f t="shared" si="6"/>
        <v>494.74253731343282</v>
      </c>
      <c r="J30" s="12">
        <f t="shared" si="7"/>
        <v>1978.9701492537313</v>
      </c>
    </row>
    <row r="31" spans="1:12" x14ac:dyDescent="0.25">
      <c r="A31" s="8" t="s">
        <v>22</v>
      </c>
      <c r="B31" s="13">
        <v>250000</v>
      </c>
      <c r="C31" s="12">
        <f t="shared" si="3"/>
        <v>0.38461538461538464</v>
      </c>
      <c r="D31" s="12">
        <f t="shared" si="4"/>
        <v>186.56716417910448</v>
      </c>
      <c r="E31" s="12">
        <f t="shared" si="5"/>
        <v>746.26865671641792</v>
      </c>
      <c r="G31" s="12">
        <f t="shared" si="9"/>
        <v>250000</v>
      </c>
      <c r="H31" s="12">
        <f t="shared" si="2"/>
        <v>0.28832403007796281</v>
      </c>
      <c r="I31" s="12">
        <f t="shared" si="6"/>
        <v>186.56716417910448</v>
      </c>
      <c r="J31" s="12">
        <f t="shared" si="7"/>
        <v>746.26865671641792</v>
      </c>
    </row>
    <row r="32" spans="1:12" x14ac:dyDescent="0.25">
      <c r="A32" s="8" t="s">
        <v>23</v>
      </c>
      <c r="B32" s="13">
        <v>21000</v>
      </c>
      <c r="C32" s="12">
        <f t="shared" si="3"/>
        <v>3.2307692307692308E-2</v>
      </c>
      <c r="D32" s="12">
        <f t="shared" si="4"/>
        <v>15.671641791044776</v>
      </c>
      <c r="E32" s="12">
        <f t="shared" si="5"/>
        <v>62.686567164179102</v>
      </c>
      <c r="G32" s="12">
        <f t="shared" si="9"/>
        <v>21000</v>
      </c>
      <c r="H32" s="12">
        <f t="shared" si="2"/>
        <v>2.4219218526548878E-2</v>
      </c>
      <c r="I32" s="12">
        <f t="shared" si="6"/>
        <v>15.671641791044776</v>
      </c>
      <c r="J32" s="12">
        <f t="shared" si="7"/>
        <v>62.686567164179102</v>
      </c>
    </row>
    <row r="33" spans="1:10" x14ac:dyDescent="0.25">
      <c r="A33" s="8" t="s">
        <v>24</v>
      </c>
      <c r="B33" s="13">
        <v>0</v>
      </c>
      <c r="C33" s="12">
        <f t="shared" si="3"/>
        <v>0</v>
      </c>
      <c r="D33" s="12">
        <f t="shared" si="4"/>
        <v>0</v>
      </c>
      <c r="E33" s="12">
        <f t="shared" si="5"/>
        <v>0</v>
      </c>
      <c r="G33" s="12">
        <f t="shared" si="9"/>
        <v>0</v>
      </c>
      <c r="H33" s="12">
        <f t="shared" si="2"/>
        <v>0</v>
      </c>
      <c r="I33" s="12">
        <f t="shared" si="6"/>
        <v>0</v>
      </c>
      <c r="J33" s="12">
        <f t="shared" si="7"/>
        <v>0</v>
      </c>
    </row>
    <row r="34" spans="1:10" x14ac:dyDescent="0.25">
      <c r="A34" s="8" t="s">
        <v>25</v>
      </c>
      <c r="B34" s="13">
        <v>39996</v>
      </c>
      <c r="C34" s="12">
        <f t="shared" si="3"/>
        <v>6.1532307692307692E-2</v>
      </c>
      <c r="D34" s="12">
        <f t="shared" si="4"/>
        <v>29.84776119402985</v>
      </c>
      <c r="E34" s="12">
        <f t="shared" si="5"/>
        <v>119.3910447761194</v>
      </c>
      <c r="G34" s="12">
        <f t="shared" si="9"/>
        <v>39996</v>
      </c>
      <c r="H34" s="12">
        <f t="shared" si="2"/>
        <v>4.6127231627992801E-2</v>
      </c>
      <c r="I34" s="12">
        <f t="shared" si="6"/>
        <v>29.84776119402985</v>
      </c>
      <c r="J34" s="12">
        <f t="shared" si="7"/>
        <v>119.3910447761194</v>
      </c>
    </row>
    <row r="35" spans="1:10" x14ac:dyDescent="0.25">
      <c r="A35" s="8" t="s">
        <v>26</v>
      </c>
      <c r="B35" s="13">
        <v>92500</v>
      </c>
      <c r="C35" s="12">
        <f t="shared" si="3"/>
        <v>0.1423076923076923</v>
      </c>
      <c r="D35" s="12">
        <f t="shared" si="4"/>
        <v>69.02985074626865</v>
      </c>
      <c r="E35" s="12">
        <f t="shared" si="5"/>
        <v>276.1194029850746</v>
      </c>
      <c r="G35" s="12">
        <f t="shared" si="9"/>
        <v>92500</v>
      </c>
      <c r="H35" s="12">
        <f t="shared" si="2"/>
        <v>0.10667989112884624</v>
      </c>
      <c r="I35" s="12">
        <f t="shared" si="6"/>
        <v>69.02985074626865</v>
      </c>
      <c r="J35" s="12">
        <f t="shared" si="7"/>
        <v>276.1194029850746</v>
      </c>
    </row>
    <row r="36" spans="1:10" x14ac:dyDescent="0.25">
      <c r="A36" s="8" t="s">
        <v>27</v>
      </c>
      <c r="B36" s="13">
        <v>0</v>
      </c>
      <c r="C36" s="12">
        <f t="shared" si="3"/>
        <v>0</v>
      </c>
      <c r="D36" s="12">
        <f t="shared" si="4"/>
        <v>0</v>
      </c>
      <c r="E36" s="12">
        <f t="shared" si="5"/>
        <v>0</v>
      </c>
      <c r="G36" s="12">
        <f t="shared" si="9"/>
        <v>0</v>
      </c>
      <c r="H36" s="12">
        <f t="shared" si="2"/>
        <v>0</v>
      </c>
      <c r="I36" s="12">
        <f t="shared" si="6"/>
        <v>0</v>
      </c>
      <c r="J36" s="12">
        <f t="shared" si="7"/>
        <v>0</v>
      </c>
    </row>
    <row r="37" spans="1:10" x14ac:dyDescent="0.25">
      <c r="A37" s="8" t="s">
        <v>28</v>
      </c>
      <c r="B37" s="13">
        <v>44706</v>
      </c>
      <c r="C37" s="12">
        <f t="shared" si="3"/>
        <v>6.8778461538461538E-2</v>
      </c>
      <c r="D37" s="12">
        <f t="shared" si="4"/>
        <v>33.362686567164182</v>
      </c>
      <c r="E37" s="12">
        <f t="shared" si="5"/>
        <v>133.45074626865673</v>
      </c>
      <c r="G37" s="12">
        <f t="shared" si="9"/>
        <v>44706</v>
      </c>
      <c r="H37" s="12">
        <f t="shared" si="2"/>
        <v>5.1559256354661624E-2</v>
      </c>
      <c r="I37" s="12">
        <f t="shared" si="6"/>
        <v>33.362686567164182</v>
      </c>
      <c r="J37" s="12">
        <f t="shared" si="7"/>
        <v>133.45074626865673</v>
      </c>
    </row>
    <row r="38" spans="1:10" x14ac:dyDescent="0.25">
      <c r="A38" s="8" t="s">
        <v>29</v>
      </c>
      <c r="B38" s="13">
        <v>33600</v>
      </c>
      <c r="C38" s="12">
        <f t="shared" si="3"/>
        <v>5.169230769230769E-2</v>
      </c>
      <c r="D38" s="12">
        <f t="shared" si="4"/>
        <v>25.074626865671643</v>
      </c>
      <c r="E38" s="12">
        <f t="shared" si="5"/>
        <v>100.29850746268657</v>
      </c>
      <c r="G38" s="12">
        <f t="shared" si="9"/>
        <v>33600</v>
      </c>
      <c r="H38" s="12">
        <f t="shared" si="2"/>
        <v>3.8750749642478204E-2</v>
      </c>
      <c r="I38" s="12">
        <f t="shared" si="6"/>
        <v>25.074626865671643</v>
      </c>
      <c r="J38" s="12">
        <f t="shared" si="7"/>
        <v>100.29850746268657</v>
      </c>
    </row>
    <row r="39" spans="1:10" x14ac:dyDescent="0.25">
      <c r="A39" s="8" t="s">
        <v>30</v>
      </c>
      <c r="B39" s="13">
        <v>0</v>
      </c>
      <c r="C39" s="12">
        <f t="shared" si="3"/>
        <v>0</v>
      </c>
      <c r="D39" s="12">
        <f t="shared" si="4"/>
        <v>0</v>
      </c>
      <c r="E39" s="12">
        <f t="shared" si="5"/>
        <v>0</v>
      </c>
      <c r="G39" s="12">
        <f t="shared" si="9"/>
        <v>0</v>
      </c>
      <c r="H39" s="12">
        <f t="shared" si="2"/>
        <v>0</v>
      </c>
      <c r="I39" s="12">
        <f t="shared" si="6"/>
        <v>0</v>
      </c>
      <c r="J39" s="12">
        <f t="shared" si="7"/>
        <v>0</v>
      </c>
    </row>
    <row r="40" spans="1:10" ht="18" thickBot="1" x14ac:dyDescent="0.35">
      <c r="A40" s="10" t="s">
        <v>31</v>
      </c>
      <c r="B40" s="12">
        <f>SUM(B18:B39)-2*SUM(B26:B29)</f>
        <v>2196182</v>
      </c>
      <c r="C40" s="12">
        <f t="shared" si="3"/>
        <v>3.3787415384615382</v>
      </c>
      <c r="D40" s="12">
        <f t="shared" si="4"/>
        <v>1638.9417910447762</v>
      </c>
      <c r="E40" s="12">
        <f t="shared" si="5"/>
        <v>6555.7671641791048</v>
      </c>
      <c r="G40" s="12">
        <f>SUM(G18:G39)-2*SUM(G26:G29)</f>
        <v>2160002</v>
      </c>
      <c r="H40" s="12">
        <f t="shared" si="2"/>
        <v>2.4911219264658393</v>
      </c>
      <c r="I40" s="12">
        <f t="shared" si="6"/>
        <v>1611.9417910447762</v>
      </c>
      <c r="J40" s="12">
        <f t="shared" si="7"/>
        <v>6447.7671641791048</v>
      </c>
    </row>
    <row r="41" spans="1:10" ht="18.75" thickTop="1" thickBot="1" x14ac:dyDescent="0.35">
      <c r="A41" s="10" t="s">
        <v>32</v>
      </c>
      <c r="B41" s="12">
        <f>+B15-B40</f>
        <v>728318</v>
      </c>
      <c r="C41" s="12">
        <f t="shared" si="3"/>
        <v>1.1204892307692307</v>
      </c>
      <c r="D41" s="12">
        <f t="shared" si="4"/>
        <v>543.52089552238806</v>
      </c>
      <c r="E41" s="12">
        <f t="shared" si="5"/>
        <v>2174.0835820895522</v>
      </c>
      <c r="G41" s="12">
        <f>+G15-G40</f>
        <v>1426139.75</v>
      </c>
      <c r="H41" s="17">
        <f>+G41/G5</f>
        <v>1.6447614406975135</v>
      </c>
      <c r="I41" s="12">
        <f t="shared" si="6"/>
        <v>1064.283395522388</v>
      </c>
      <c r="J41" s="12">
        <f t="shared" si="7"/>
        <v>4257.133582089552</v>
      </c>
    </row>
    <row r="42" spans="1:10" ht="15.75" thickTop="1" x14ac:dyDescent="0.25"/>
  </sheetData>
  <mergeCells count="4">
    <mergeCell ref="F4:F5"/>
    <mergeCell ref="F6:F8"/>
    <mergeCell ref="G7:J7"/>
    <mergeCell ref="G8:J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"/>
  <sheetViews>
    <sheetView workbookViewId="0"/>
  </sheetViews>
  <sheetFormatPr defaultRowHeight="15" x14ac:dyDescent="0.25"/>
  <cols>
    <col min="1" max="1" width="36.875" customWidth="1"/>
    <col min="2" max="2" width="13.25" customWidth="1"/>
    <col min="3" max="3" width="11.75" customWidth="1"/>
    <col min="4" max="4" width="13.25" customWidth="1"/>
    <col min="5" max="5" width="12.75" customWidth="1"/>
    <col min="6" max="6" width="11.125" bestFit="1" customWidth="1"/>
    <col min="7" max="7" width="12.75" bestFit="1" customWidth="1"/>
  </cols>
  <sheetData>
    <row r="1" spans="1:12" ht="105" x14ac:dyDescent="0.25">
      <c r="A1" s="11" t="s">
        <v>57</v>
      </c>
      <c r="B1" s="11" t="s">
        <v>58</v>
      </c>
    </row>
    <row r="2" spans="1:12" x14ac:dyDescent="0.25">
      <c r="A2" s="11"/>
      <c r="B2" s="11"/>
    </row>
    <row r="3" spans="1:12" x14ac:dyDescent="0.25">
      <c r="A3" s="11" t="s">
        <v>36</v>
      </c>
      <c r="B3" s="14">
        <v>720</v>
      </c>
    </row>
    <row r="4" spans="1:12" x14ac:dyDescent="0.25">
      <c r="A4" s="11" t="s">
        <v>37</v>
      </c>
      <c r="B4" s="14">
        <v>262</v>
      </c>
      <c r="F4" s="40" t="s">
        <v>50</v>
      </c>
      <c r="G4" s="21"/>
    </row>
    <row r="5" spans="1:12" x14ac:dyDescent="0.25">
      <c r="A5" s="11" t="s">
        <v>33</v>
      </c>
      <c r="B5" s="14">
        <v>340000</v>
      </c>
      <c r="F5" s="41"/>
      <c r="G5" s="22">
        <f>+B5+(0.475*270*B3)</f>
        <v>432340</v>
      </c>
    </row>
    <row r="6" spans="1:12" x14ac:dyDescent="0.25">
      <c r="A6" s="11" t="s">
        <v>34</v>
      </c>
      <c r="B6" s="19">
        <f>+B5/B3</f>
        <v>472.22222222222223</v>
      </c>
      <c r="F6" s="42" t="s">
        <v>103</v>
      </c>
      <c r="G6" s="2" t="s">
        <v>40</v>
      </c>
    </row>
    <row r="7" spans="1:12" ht="15" customHeight="1" x14ac:dyDescent="0.25">
      <c r="A7" s="11" t="s">
        <v>35</v>
      </c>
      <c r="B7" s="20">
        <f>+B3/B4</f>
        <v>2.7480916030534353</v>
      </c>
      <c r="F7" s="42"/>
      <c r="G7" s="39" t="s">
        <v>39</v>
      </c>
      <c r="H7" s="39"/>
      <c r="I7" s="39"/>
      <c r="J7" s="39"/>
    </row>
    <row r="8" spans="1:12" x14ac:dyDescent="0.25">
      <c r="A8" s="11"/>
      <c r="B8" s="1"/>
      <c r="F8" s="42"/>
      <c r="G8" s="39" t="s">
        <v>102</v>
      </c>
      <c r="H8" s="39"/>
      <c r="I8" s="39"/>
      <c r="J8" s="39"/>
    </row>
    <row r="10" spans="1:12" ht="18" thickBot="1" x14ac:dyDescent="0.35">
      <c r="A10" s="5" t="s">
        <v>1</v>
      </c>
      <c r="B10" s="5" t="s">
        <v>6</v>
      </c>
      <c r="C10" s="5" t="s">
        <v>7</v>
      </c>
      <c r="D10" s="5" t="s">
        <v>8</v>
      </c>
      <c r="E10" s="5" t="s">
        <v>9</v>
      </c>
      <c r="G10" s="5" t="s">
        <v>6</v>
      </c>
      <c r="H10" s="5" t="s">
        <v>7</v>
      </c>
      <c r="I10" s="5" t="s">
        <v>8</v>
      </c>
      <c r="J10" s="5" t="s">
        <v>9</v>
      </c>
    </row>
    <row r="11" spans="1:12" ht="16.5" thickTop="1" x14ac:dyDescent="0.25">
      <c r="A11" s="4" t="s">
        <v>2</v>
      </c>
      <c r="E11" s="3"/>
    </row>
    <row r="12" spans="1:12" x14ac:dyDescent="0.25">
      <c r="A12" s="6" t="s">
        <v>3</v>
      </c>
      <c r="B12" s="16">
        <f>+B5*C12</f>
        <v>1309000</v>
      </c>
      <c r="C12" s="13">
        <v>3.85</v>
      </c>
      <c r="D12" s="12">
        <f>+B12/B3</f>
        <v>1818.0555555555557</v>
      </c>
      <c r="E12" s="15">
        <f>+B12/B4</f>
        <v>4996.1832061068699</v>
      </c>
      <c r="G12" s="12">
        <f>+G5*H12</f>
        <v>1664509</v>
      </c>
      <c r="H12" s="13">
        <f>+C12</f>
        <v>3.85</v>
      </c>
      <c r="I12" s="12">
        <f>+G12/$B$3</f>
        <v>2311.8180555555555</v>
      </c>
      <c r="J12" s="12">
        <f>+G12/B4</f>
        <v>6353.0877862595416</v>
      </c>
    </row>
    <row r="13" spans="1:12" x14ac:dyDescent="0.25">
      <c r="A13" s="6" t="s">
        <v>4</v>
      </c>
      <c r="B13" s="13">
        <v>87669</v>
      </c>
      <c r="C13" s="12">
        <f>+B13/$B$5</f>
        <v>0.25785000000000002</v>
      </c>
      <c r="D13" s="12">
        <f>+B13/$B$3</f>
        <v>121.7625</v>
      </c>
      <c r="E13" s="12">
        <f>+B13/$B$4</f>
        <v>334.6145038167939</v>
      </c>
      <c r="G13" s="13">
        <f>+B13</f>
        <v>87669</v>
      </c>
      <c r="H13" s="12">
        <f>+G13/$G$5</f>
        <v>0.20277790627746681</v>
      </c>
      <c r="I13" s="12">
        <f>+G13/$B$3</f>
        <v>121.7625</v>
      </c>
      <c r="J13" s="12">
        <f>+G13/$B$4</f>
        <v>334.6145038167939</v>
      </c>
    </row>
    <row r="14" spans="1:12" x14ac:dyDescent="0.25">
      <c r="A14" s="6" t="s">
        <v>60</v>
      </c>
      <c r="B14" s="13">
        <v>7200</v>
      </c>
      <c r="C14" s="12">
        <f>+B14/$B$5</f>
        <v>2.1176470588235293E-2</v>
      </c>
      <c r="D14" s="12">
        <f>+B14/$B$3</f>
        <v>10</v>
      </c>
      <c r="E14" s="12">
        <f>+B14/$B$4</f>
        <v>27.480916030534353</v>
      </c>
      <c r="G14" s="13">
        <f>+B14</f>
        <v>7200</v>
      </c>
      <c r="H14" s="12">
        <f>+G14/$G$5</f>
        <v>1.6653559698385528E-2</v>
      </c>
      <c r="I14" s="12">
        <f>+G14/$B$3</f>
        <v>10</v>
      </c>
      <c r="J14" s="12">
        <f>+G14/$B$4</f>
        <v>27.480916030534353</v>
      </c>
    </row>
    <row r="15" spans="1:12" x14ac:dyDescent="0.25">
      <c r="A15" s="7" t="s">
        <v>10</v>
      </c>
      <c r="B15" s="12">
        <f>SUM(B12:B14)</f>
        <v>1403869</v>
      </c>
      <c r="C15" s="12">
        <f t="shared" ref="C15:E15" si="0">SUM(C12:C14)</f>
        <v>4.1290264705882356</v>
      </c>
      <c r="D15" s="12">
        <f t="shared" si="0"/>
        <v>1949.8180555555557</v>
      </c>
      <c r="E15" s="12">
        <f t="shared" si="0"/>
        <v>5358.2786259541981</v>
      </c>
      <c r="G15" s="12">
        <f>SUM(G12:G14)</f>
        <v>1759378</v>
      </c>
      <c r="H15" s="12">
        <f t="shared" ref="H15:J15" si="1">SUM(H12:H14)</f>
        <v>4.0694314659758524</v>
      </c>
      <c r="I15" s="12">
        <f t="shared" si="1"/>
        <v>2443.5805555555553</v>
      </c>
      <c r="J15" s="12">
        <f t="shared" si="1"/>
        <v>6715.1832061068699</v>
      </c>
    </row>
    <row r="16" spans="1:12" x14ac:dyDescent="0.25">
      <c r="L16" s="2"/>
    </row>
    <row r="17" spans="1:12" ht="18" thickBot="1" x14ac:dyDescent="0.35">
      <c r="A17" s="5" t="s">
        <v>11</v>
      </c>
      <c r="B17" s="5" t="s">
        <v>6</v>
      </c>
      <c r="C17" s="5" t="s">
        <v>7</v>
      </c>
      <c r="D17" s="5" t="s">
        <v>8</v>
      </c>
      <c r="E17" s="5" t="s">
        <v>9</v>
      </c>
    </row>
    <row r="18" spans="1:12" ht="15.75" thickTop="1" x14ac:dyDescent="0.25">
      <c r="A18" s="9" t="s">
        <v>12</v>
      </c>
      <c r="B18" s="13">
        <v>266256</v>
      </c>
      <c r="C18" s="12">
        <f>+B18/$B$5</f>
        <v>0.78310588235294121</v>
      </c>
      <c r="D18" s="12">
        <f>+B18/$B$3</f>
        <v>369.8</v>
      </c>
      <c r="E18" s="12">
        <f>+B18/$B$4</f>
        <v>1016.2442748091603</v>
      </c>
      <c r="G18" s="12">
        <f>B18</f>
        <v>266256</v>
      </c>
      <c r="H18" s="12">
        <f t="shared" ref="H18:H41" si="2">+G18/$G$5</f>
        <v>0.61584863764629694</v>
      </c>
      <c r="I18" s="12">
        <f>+G18/$B$3</f>
        <v>369.8</v>
      </c>
      <c r="J18" s="12">
        <f>+G18/$B$4</f>
        <v>1016.2442748091603</v>
      </c>
    </row>
    <row r="19" spans="1:12" x14ac:dyDescent="0.25">
      <c r="A19" s="9" t="s">
        <v>13</v>
      </c>
      <c r="B19" s="13">
        <v>76650</v>
      </c>
      <c r="C19" s="12">
        <f t="shared" ref="C19:C41" si="3">+B19/$B$5</f>
        <v>0.22544117647058823</v>
      </c>
      <c r="D19" s="12">
        <f t="shared" ref="D19:D41" si="4">+B19/$B$3</f>
        <v>106.45833333333333</v>
      </c>
      <c r="E19" s="12">
        <f t="shared" ref="E19:E41" si="5">+B19/$B$4</f>
        <v>292.55725190839695</v>
      </c>
      <c r="G19" s="18">
        <f>B19-(B3*270*0.1)</f>
        <v>57210</v>
      </c>
      <c r="H19" s="12">
        <f t="shared" si="2"/>
        <v>0.13232640977008836</v>
      </c>
      <c r="I19" s="12">
        <f t="shared" ref="I19:I41" si="6">+G19/$B$3</f>
        <v>79.458333333333329</v>
      </c>
      <c r="J19" s="12">
        <f t="shared" ref="J19:J41" si="7">+G19/$B$4</f>
        <v>218.35877862595419</v>
      </c>
      <c r="L19" t="s">
        <v>41</v>
      </c>
    </row>
    <row r="20" spans="1:12" x14ac:dyDescent="0.25">
      <c r="A20" s="9" t="s">
        <v>14</v>
      </c>
      <c r="B20" s="13">
        <v>44780</v>
      </c>
      <c r="C20" s="12">
        <f t="shared" si="3"/>
        <v>0.13170588235294117</v>
      </c>
      <c r="D20" s="12">
        <f t="shared" si="4"/>
        <v>62.194444444444443</v>
      </c>
      <c r="E20" s="12">
        <f t="shared" si="5"/>
        <v>170.91603053435114</v>
      </c>
      <c r="G20" s="12">
        <f t="shared" ref="G20:G23" si="8">B20</f>
        <v>44780</v>
      </c>
      <c r="H20" s="12">
        <f t="shared" si="2"/>
        <v>0.10357588934634779</v>
      </c>
      <c r="I20" s="12">
        <f t="shared" si="6"/>
        <v>62.194444444444443</v>
      </c>
      <c r="J20" s="12">
        <f t="shared" si="7"/>
        <v>170.91603053435114</v>
      </c>
    </row>
    <row r="21" spans="1:12" x14ac:dyDescent="0.25">
      <c r="A21" s="9" t="s">
        <v>15</v>
      </c>
      <c r="B21" s="13">
        <v>29000</v>
      </c>
      <c r="C21" s="12">
        <f t="shared" si="3"/>
        <v>8.5294117647058826E-2</v>
      </c>
      <c r="D21" s="12">
        <f t="shared" si="4"/>
        <v>40.277777777777779</v>
      </c>
      <c r="E21" s="12">
        <f t="shared" si="5"/>
        <v>110.68702290076335</v>
      </c>
      <c r="G21" s="12">
        <f t="shared" si="8"/>
        <v>29000</v>
      </c>
      <c r="H21" s="12">
        <f t="shared" si="2"/>
        <v>6.7076837674052828E-2</v>
      </c>
      <c r="I21" s="12">
        <f t="shared" si="6"/>
        <v>40.277777777777779</v>
      </c>
      <c r="J21" s="12">
        <f t="shared" si="7"/>
        <v>110.68702290076335</v>
      </c>
    </row>
    <row r="22" spans="1:12" x14ac:dyDescent="0.25">
      <c r="A22" s="9" t="s">
        <v>16</v>
      </c>
      <c r="B22" s="13">
        <v>32000</v>
      </c>
      <c r="C22" s="12">
        <f t="shared" si="3"/>
        <v>9.4117647058823528E-2</v>
      </c>
      <c r="D22" s="12">
        <f t="shared" si="4"/>
        <v>44.444444444444443</v>
      </c>
      <c r="E22" s="12">
        <f t="shared" si="5"/>
        <v>122.13740458015268</v>
      </c>
      <c r="G22" s="12">
        <f t="shared" si="8"/>
        <v>32000</v>
      </c>
      <c r="H22" s="12">
        <f t="shared" si="2"/>
        <v>7.4015820881713462E-2</v>
      </c>
      <c r="I22" s="12">
        <f t="shared" si="6"/>
        <v>44.444444444444443</v>
      </c>
      <c r="J22" s="12">
        <f t="shared" si="7"/>
        <v>122.13740458015268</v>
      </c>
    </row>
    <row r="23" spans="1:12" x14ac:dyDescent="0.25">
      <c r="A23" s="9" t="s">
        <v>17</v>
      </c>
      <c r="B23" s="13">
        <v>0</v>
      </c>
      <c r="C23" s="12">
        <f t="shared" si="3"/>
        <v>0</v>
      </c>
      <c r="D23" s="12">
        <f t="shared" si="4"/>
        <v>0</v>
      </c>
      <c r="E23" s="12">
        <f t="shared" si="5"/>
        <v>0</v>
      </c>
      <c r="G23" s="12">
        <f t="shared" si="8"/>
        <v>0</v>
      </c>
      <c r="H23" s="12">
        <f t="shared" si="2"/>
        <v>0</v>
      </c>
      <c r="I23" s="12">
        <f t="shared" si="6"/>
        <v>0</v>
      </c>
      <c r="J23" s="12">
        <f t="shared" si="7"/>
        <v>0</v>
      </c>
    </row>
    <row r="24" spans="1:12" x14ac:dyDescent="0.25">
      <c r="A24" s="9" t="s">
        <v>18</v>
      </c>
      <c r="B24" s="13">
        <v>133375</v>
      </c>
      <c r="C24" s="12">
        <f t="shared" si="3"/>
        <v>0.39227941176470588</v>
      </c>
      <c r="D24" s="12">
        <f t="shared" si="4"/>
        <v>185.24305555555554</v>
      </c>
      <c r="E24" s="12">
        <f t="shared" si="5"/>
        <v>509.06488549618319</v>
      </c>
      <c r="G24" s="12">
        <f>+B24/2</f>
        <v>66687.5</v>
      </c>
      <c r="H24" s="12">
        <f t="shared" si="2"/>
        <v>0.15424781422028958</v>
      </c>
      <c r="I24" s="12">
        <f t="shared" si="6"/>
        <v>92.621527777777771</v>
      </c>
      <c r="J24" s="12">
        <f t="shared" si="7"/>
        <v>254.5324427480916</v>
      </c>
      <c r="L24" t="s">
        <v>87</v>
      </c>
    </row>
    <row r="25" spans="1:12" x14ac:dyDescent="0.25">
      <c r="A25" s="9" t="s">
        <v>104</v>
      </c>
      <c r="B25" s="12"/>
      <c r="C25" s="12"/>
      <c r="D25" s="12"/>
      <c r="E25" s="12"/>
      <c r="G25" s="16">
        <f>+B3*300</f>
        <v>216000</v>
      </c>
      <c r="H25" s="12">
        <f t="shared" si="2"/>
        <v>0.4996067909515659</v>
      </c>
      <c r="I25" s="12">
        <f t="shared" si="6"/>
        <v>300</v>
      </c>
      <c r="J25" s="12">
        <f t="shared" si="7"/>
        <v>824.4274809160305</v>
      </c>
    </row>
    <row r="26" spans="1:12" x14ac:dyDescent="0.25">
      <c r="A26" s="6" t="s">
        <v>19</v>
      </c>
      <c r="B26" s="13">
        <v>96602</v>
      </c>
      <c r="C26" s="12">
        <f t="shared" si="3"/>
        <v>0.28412352941176472</v>
      </c>
      <c r="D26" s="12">
        <f t="shared" si="4"/>
        <v>134.16944444444445</v>
      </c>
      <c r="E26" s="12">
        <f t="shared" si="5"/>
        <v>368.70992366412213</v>
      </c>
      <c r="G26" s="12">
        <f t="shared" ref="G26:G39" si="9">B26</f>
        <v>96602</v>
      </c>
      <c r="H26" s="12">
        <f t="shared" si="2"/>
        <v>0.22343988527547765</v>
      </c>
      <c r="I26" s="12">
        <f t="shared" si="6"/>
        <v>134.16944444444445</v>
      </c>
      <c r="J26" s="12">
        <f t="shared" si="7"/>
        <v>368.70992366412213</v>
      </c>
    </row>
    <row r="27" spans="1:12" x14ac:dyDescent="0.25">
      <c r="A27" s="6" t="s">
        <v>44</v>
      </c>
      <c r="B27" s="13">
        <v>13716</v>
      </c>
      <c r="C27" s="12">
        <f t="shared" si="3"/>
        <v>4.0341176470588234E-2</v>
      </c>
      <c r="D27" s="12">
        <f t="shared" si="4"/>
        <v>19.05</v>
      </c>
      <c r="E27" s="12">
        <f t="shared" si="5"/>
        <v>52.351145038167942</v>
      </c>
      <c r="G27" s="12">
        <f t="shared" si="9"/>
        <v>13716</v>
      </c>
      <c r="H27" s="12">
        <f t="shared" si="2"/>
        <v>3.1725031225424437E-2</v>
      </c>
      <c r="I27" s="12">
        <f t="shared" si="6"/>
        <v>19.05</v>
      </c>
      <c r="J27" s="12">
        <f t="shared" si="7"/>
        <v>52.351145038167942</v>
      </c>
    </row>
    <row r="28" spans="1:12" x14ac:dyDescent="0.25">
      <c r="A28" s="6" t="s">
        <v>20</v>
      </c>
      <c r="B28" s="13">
        <v>0</v>
      </c>
      <c r="C28" s="12">
        <f t="shared" si="3"/>
        <v>0</v>
      </c>
      <c r="D28" s="12">
        <f t="shared" si="4"/>
        <v>0</v>
      </c>
      <c r="E28" s="12">
        <f t="shared" si="5"/>
        <v>0</v>
      </c>
      <c r="G28" s="12">
        <f t="shared" si="9"/>
        <v>0</v>
      </c>
      <c r="H28" s="12">
        <f t="shared" si="2"/>
        <v>0</v>
      </c>
      <c r="I28" s="12">
        <f t="shared" si="6"/>
        <v>0</v>
      </c>
      <c r="J28" s="12">
        <f t="shared" si="7"/>
        <v>0</v>
      </c>
    </row>
    <row r="29" spans="1:12" x14ac:dyDescent="0.25">
      <c r="A29" s="6" t="s">
        <v>21</v>
      </c>
      <c r="B29" s="13">
        <v>203756</v>
      </c>
      <c r="C29" s="12">
        <f t="shared" si="3"/>
        <v>0.59928235294117649</v>
      </c>
      <c r="D29" s="12">
        <f t="shared" si="4"/>
        <v>282.99444444444447</v>
      </c>
      <c r="E29" s="12">
        <f t="shared" si="5"/>
        <v>777.69465648854964</v>
      </c>
      <c r="G29" s="12">
        <f t="shared" si="9"/>
        <v>203756</v>
      </c>
      <c r="H29" s="12">
        <f t="shared" si="2"/>
        <v>0.47128648748670027</v>
      </c>
      <c r="I29" s="12">
        <f t="shared" si="6"/>
        <v>282.99444444444447</v>
      </c>
      <c r="J29" s="12">
        <f t="shared" si="7"/>
        <v>777.69465648854964</v>
      </c>
    </row>
    <row r="30" spans="1:12" x14ac:dyDescent="0.25">
      <c r="A30" s="8" t="s">
        <v>10</v>
      </c>
      <c r="B30" s="13">
        <f>SUM(B26:B29)</f>
        <v>314074</v>
      </c>
      <c r="C30" s="12">
        <f t="shared" si="3"/>
        <v>0.92374705882352937</v>
      </c>
      <c r="D30" s="12">
        <f t="shared" si="4"/>
        <v>436.2138888888889</v>
      </c>
      <c r="E30" s="12">
        <f t="shared" si="5"/>
        <v>1198.7557251908397</v>
      </c>
      <c r="G30" s="12">
        <f t="shared" si="9"/>
        <v>314074</v>
      </c>
      <c r="H30" s="12">
        <f t="shared" si="2"/>
        <v>0.72645140398760233</v>
      </c>
      <c r="I30" s="12">
        <f t="shared" si="6"/>
        <v>436.2138888888889</v>
      </c>
      <c r="J30" s="12">
        <f t="shared" si="7"/>
        <v>1198.7557251908397</v>
      </c>
    </row>
    <row r="31" spans="1:12" x14ac:dyDescent="0.25">
      <c r="A31" s="8" t="s">
        <v>22</v>
      </c>
      <c r="B31" s="13">
        <v>142468</v>
      </c>
      <c r="C31" s="12">
        <f t="shared" si="3"/>
        <v>0.41902352941176468</v>
      </c>
      <c r="D31" s="12">
        <f t="shared" si="4"/>
        <v>197.87222222222223</v>
      </c>
      <c r="E31" s="12">
        <f t="shared" si="5"/>
        <v>543.7709923664122</v>
      </c>
      <c r="G31" s="12">
        <f t="shared" si="9"/>
        <v>142468</v>
      </c>
      <c r="H31" s="12">
        <f t="shared" si="2"/>
        <v>0.32952768654299858</v>
      </c>
      <c r="I31" s="12">
        <f t="shared" si="6"/>
        <v>197.87222222222223</v>
      </c>
      <c r="J31" s="12">
        <f t="shared" si="7"/>
        <v>543.7709923664122</v>
      </c>
    </row>
    <row r="32" spans="1:12" x14ac:dyDescent="0.25">
      <c r="A32" s="8" t="s">
        <v>23</v>
      </c>
      <c r="B32" s="13">
        <v>13125</v>
      </c>
      <c r="C32" s="12">
        <f t="shared" si="3"/>
        <v>3.860294117647059E-2</v>
      </c>
      <c r="D32" s="12">
        <f t="shared" si="4"/>
        <v>18.229166666666668</v>
      </c>
      <c r="E32" s="12">
        <f t="shared" si="5"/>
        <v>50.095419847328245</v>
      </c>
      <c r="G32" s="12">
        <f t="shared" si="9"/>
        <v>13125</v>
      </c>
      <c r="H32" s="12">
        <f t="shared" si="2"/>
        <v>3.0358051533515288E-2</v>
      </c>
      <c r="I32" s="12">
        <f t="shared" si="6"/>
        <v>18.229166666666668</v>
      </c>
      <c r="J32" s="12">
        <f t="shared" si="7"/>
        <v>50.095419847328245</v>
      </c>
    </row>
    <row r="33" spans="1:10" x14ac:dyDescent="0.25">
      <c r="A33" s="8" t="s">
        <v>24</v>
      </c>
      <c r="B33" s="13">
        <v>0</v>
      </c>
      <c r="C33" s="12">
        <f t="shared" si="3"/>
        <v>0</v>
      </c>
      <c r="D33" s="12">
        <f t="shared" si="4"/>
        <v>0</v>
      </c>
      <c r="E33" s="12">
        <f t="shared" si="5"/>
        <v>0</v>
      </c>
      <c r="G33" s="12">
        <f t="shared" si="9"/>
        <v>0</v>
      </c>
      <c r="H33" s="12">
        <f t="shared" si="2"/>
        <v>0</v>
      </c>
      <c r="I33" s="12">
        <f t="shared" si="6"/>
        <v>0</v>
      </c>
      <c r="J33" s="12">
        <f t="shared" si="7"/>
        <v>0</v>
      </c>
    </row>
    <row r="34" spans="1:10" x14ac:dyDescent="0.25">
      <c r="A34" s="8" t="s">
        <v>25</v>
      </c>
      <c r="B34" s="13">
        <v>57000</v>
      </c>
      <c r="C34" s="12">
        <f t="shared" si="3"/>
        <v>0.1676470588235294</v>
      </c>
      <c r="D34" s="12">
        <f t="shared" si="4"/>
        <v>79.166666666666671</v>
      </c>
      <c r="E34" s="12">
        <f t="shared" si="5"/>
        <v>217.55725190839695</v>
      </c>
      <c r="G34" s="12">
        <f t="shared" si="9"/>
        <v>57000</v>
      </c>
      <c r="H34" s="12">
        <f t="shared" si="2"/>
        <v>0.13184068094555212</v>
      </c>
      <c r="I34" s="12">
        <f t="shared" si="6"/>
        <v>79.166666666666671</v>
      </c>
      <c r="J34" s="12">
        <f t="shared" si="7"/>
        <v>217.55725190839695</v>
      </c>
    </row>
    <row r="35" spans="1:10" x14ac:dyDescent="0.25">
      <c r="A35" s="8" t="s">
        <v>26</v>
      </c>
      <c r="B35" s="13">
        <v>45568</v>
      </c>
      <c r="C35" s="12">
        <f t="shared" si="3"/>
        <v>0.13402352941176471</v>
      </c>
      <c r="D35" s="12">
        <f t="shared" si="4"/>
        <v>63.288888888888891</v>
      </c>
      <c r="E35" s="12">
        <f t="shared" si="5"/>
        <v>173.92366412213741</v>
      </c>
      <c r="G35" s="12">
        <f t="shared" si="9"/>
        <v>45568</v>
      </c>
      <c r="H35" s="12">
        <f t="shared" si="2"/>
        <v>0.10539852893555998</v>
      </c>
      <c r="I35" s="12">
        <f t="shared" si="6"/>
        <v>63.288888888888891</v>
      </c>
      <c r="J35" s="12">
        <f t="shared" si="7"/>
        <v>173.92366412213741</v>
      </c>
    </row>
    <row r="36" spans="1:10" x14ac:dyDescent="0.25">
      <c r="A36" s="8" t="s">
        <v>27</v>
      </c>
      <c r="B36" s="13">
        <v>13500</v>
      </c>
      <c r="C36" s="12">
        <f t="shared" si="3"/>
        <v>3.9705882352941174E-2</v>
      </c>
      <c r="D36" s="12">
        <f t="shared" si="4"/>
        <v>18.75</v>
      </c>
      <c r="E36" s="12">
        <f t="shared" si="5"/>
        <v>51.526717557251906</v>
      </c>
      <c r="G36" s="12">
        <f t="shared" si="9"/>
        <v>13500</v>
      </c>
      <c r="H36" s="12">
        <f t="shared" si="2"/>
        <v>3.1225424434472869E-2</v>
      </c>
      <c r="I36" s="12">
        <f t="shared" si="6"/>
        <v>18.75</v>
      </c>
      <c r="J36" s="12">
        <f t="shared" si="7"/>
        <v>51.526717557251906</v>
      </c>
    </row>
    <row r="37" spans="1:10" x14ac:dyDescent="0.25">
      <c r="A37" s="8" t="s">
        <v>28</v>
      </c>
      <c r="B37" s="13">
        <v>22040</v>
      </c>
      <c r="C37" s="12">
        <f t="shared" si="3"/>
        <v>6.482352941176471E-2</v>
      </c>
      <c r="D37" s="12">
        <f t="shared" si="4"/>
        <v>30.611111111111111</v>
      </c>
      <c r="E37" s="12">
        <f t="shared" si="5"/>
        <v>84.122137404580158</v>
      </c>
      <c r="G37" s="12">
        <f t="shared" si="9"/>
        <v>22040</v>
      </c>
      <c r="H37" s="12">
        <f t="shared" si="2"/>
        <v>5.0978396632280147E-2</v>
      </c>
      <c r="I37" s="12">
        <f t="shared" si="6"/>
        <v>30.611111111111111</v>
      </c>
      <c r="J37" s="12">
        <f t="shared" si="7"/>
        <v>84.122137404580158</v>
      </c>
    </row>
    <row r="38" spans="1:10" x14ac:dyDescent="0.25">
      <c r="A38" s="8" t="s">
        <v>29</v>
      </c>
      <c r="B38" s="13">
        <v>33000</v>
      </c>
      <c r="C38" s="12">
        <f t="shared" si="3"/>
        <v>9.7058823529411767E-2</v>
      </c>
      <c r="D38" s="12">
        <f t="shared" si="4"/>
        <v>45.833333333333336</v>
      </c>
      <c r="E38" s="12">
        <f t="shared" si="5"/>
        <v>125.95419847328245</v>
      </c>
      <c r="G38" s="12">
        <f t="shared" si="9"/>
        <v>33000</v>
      </c>
      <c r="H38" s="12">
        <f t="shared" si="2"/>
        <v>7.6328815284267007E-2</v>
      </c>
      <c r="I38" s="12">
        <f t="shared" si="6"/>
        <v>45.833333333333336</v>
      </c>
      <c r="J38" s="12">
        <f t="shared" si="7"/>
        <v>125.95419847328245</v>
      </c>
    </row>
    <row r="39" spans="1:10" x14ac:dyDescent="0.25">
      <c r="A39" s="8" t="s">
        <v>30</v>
      </c>
      <c r="B39" s="13">
        <v>0</v>
      </c>
      <c r="C39" s="12">
        <f t="shared" si="3"/>
        <v>0</v>
      </c>
      <c r="D39" s="12">
        <f t="shared" si="4"/>
        <v>0</v>
      </c>
      <c r="E39" s="12">
        <f t="shared" si="5"/>
        <v>0</v>
      </c>
      <c r="G39" s="12">
        <f t="shared" si="9"/>
        <v>0</v>
      </c>
      <c r="H39" s="12">
        <f t="shared" si="2"/>
        <v>0</v>
      </c>
      <c r="I39" s="12">
        <f t="shared" si="6"/>
        <v>0</v>
      </c>
      <c r="J39" s="12">
        <f t="shared" si="7"/>
        <v>0</v>
      </c>
    </row>
    <row r="40" spans="1:10" ht="18" thickBot="1" x14ac:dyDescent="0.35">
      <c r="A40" s="10" t="s">
        <v>31</v>
      </c>
      <c r="B40" s="12">
        <f>SUM(B18:B39)-SUM(B26:B29)</f>
        <v>1222836</v>
      </c>
      <c r="C40" s="12">
        <f t="shared" si="3"/>
        <v>3.5965764705882353</v>
      </c>
      <c r="D40" s="12">
        <f t="shared" si="4"/>
        <v>1698.3833333333334</v>
      </c>
      <c r="E40" s="12">
        <f t="shared" si="5"/>
        <v>4667.3129770992364</v>
      </c>
      <c r="G40" s="12">
        <f>SUM(G18:G39)-SUM(G26:G29)</f>
        <v>1352708.5</v>
      </c>
      <c r="H40" s="12">
        <f t="shared" si="2"/>
        <v>3.1288071887866034</v>
      </c>
      <c r="I40" s="12">
        <f t="shared" si="6"/>
        <v>1878.7618055555556</v>
      </c>
      <c r="J40" s="12">
        <f t="shared" si="7"/>
        <v>5163.009541984733</v>
      </c>
    </row>
    <row r="41" spans="1:10" ht="18.75" thickTop="1" thickBot="1" x14ac:dyDescent="0.35">
      <c r="A41" s="10" t="s">
        <v>32</v>
      </c>
      <c r="B41" s="12">
        <f>+B15-B40</f>
        <v>181033</v>
      </c>
      <c r="C41" s="12">
        <f t="shared" si="3"/>
        <v>0.53244999999999998</v>
      </c>
      <c r="D41" s="12">
        <f t="shared" si="4"/>
        <v>251.43472222222223</v>
      </c>
      <c r="E41" s="12">
        <f t="shared" si="5"/>
        <v>690.96564885496184</v>
      </c>
      <c r="G41" s="12">
        <f>+G15-G40</f>
        <v>406669.5</v>
      </c>
      <c r="H41" s="12">
        <f t="shared" si="2"/>
        <v>0.94062427718924924</v>
      </c>
      <c r="I41" s="12">
        <f t="shared" si="6"/>
        <v>564.81875000000002</v>
      </c>
      <c r="J41" s="12">
        <f t="shared" si="7"/>
        <v>1552.1736641221373</v>
      </c>
    </row>
    <row r="42" spans="1:10" ht="15.75" thickTop="1" x14ac:dyDescent="0.25"/>
  </sheetData>
  <mergeCells count="4">
    <mergeCell ref="F4:F5"/>
    <mergeCell ref="F6:F8"/>
    <mergeCell ref="G7:J7"/>
    <mergeCell ref="G8:J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NorthLand S3</vt:lpstr>
      <vt:lpstr>BOP S2</vt:lpstr>
      <vt:lpstr>Nth Wai 50-50</vt:lpstr>
      <vt:lpstr>Sth Wai S5</vt:lpstr>
      <vt:lpstr>naki S2</vt:lpstr>
      <vt:lpstr>Canty S3</vt:lpstr>
      <vt:lpstr>Canty S4</vt:lpstr>
      <vt:lpstr>Sthland S4</vt:lpstr>
      <vt:lpstr>Sthland Synd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</dc:creator>
  <cp:lastModifiedBy>Graeme Coles</cp:lastModifiedBy>
  <dcterms:created xsi:type="dcterms:W3CDTF">2016-03-30T22:14:22Z</dcterms:created>
  <dcterms:modified xsi:type="dcterms:W3CDTF">2016-09-25T06:46:48Z</dcterms:modified>
</cp:coreProperties>
</file>